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Zabler-Neuhaus AS\ZNAS\2016_GAP\Exercises\Exercise 1\"/>
    </mc:Choice>
  </mc:AlternateContent>
  <bookViews>
    <workbookView xWindow="-15" yWindow="45" windowWidth="20505" windowHeight="6015"/>
  </bookViews>
  <sheets>
    <sheet name="Yield curve estimation" sheetId="1" r:id="rId1"/>
    <sheet name="Chart estimated yield curve" sheetId="2" r:id="rId2"/>
    <sheet name="Liability" sheetId="8" r:id="rId3"/>
    <sheet name="Immunisation" sheetId="9" r:id="rId4"/>
  </sheets>
  <definedNames>
    <definedName name="Matrix_B">'Yield curve estimation'!$F$24:$F$38</definedName>
    <definedName name="Matrix_C">'Yield curve estimation'!$G$5:$U$19</definedName>
  </definedNames>
  <calcPr calcId="171027"/>
</workbook>
</file>

<file path=xl/calcChain.xml><?xml version="1.0" encoding="utf-8"?>
<calcChain xmlns="http://schemas.openxmlformats.org/spreadsheetml/2006/main">
  <c r="E15" i="1" l="1"/>
  <c r="E16" i="1" s="1"/>
  <c r="E17" i="1" s="1"/>
  <c r="E18" i="1" s="1"/>
  <c r="E19" i="1" s="1"/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H3" i="1" l="1"/>
  <c r="I3" i="1" s="1"/>
  <c r="J3" i="1" s="1"/>
  <c r="K3" i="1" s="1"/>
  <c r="H4" i="1"/>
  <c r="I4" i="1" s="1"/>
  <c r="H25" i="1"/>
  <c r="H26" i="1" l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L3" i="1"/>
  <c r="J4" i="1"/>
  <c r="M3" i="1" l="1"/>
  <c r="K4" i="1"/>
  <c r="L4" i="1" l="1"/>
  <c r="N3" i="1"/>
  <c r="M4" i="1" l="1"/>
  <c r="O3" i="1"/>
  <c r="P3" i="1" l="1"/>
  <c r="N4" i="1"/>
  <c r="F8" i="9"/>
  <c r="J4" i="9" s="1"/>
  <c r="G8" i="9"/>
  <c r="G33" i="9" s="1"/>
  <c r="H8" i="9"/>
  <c r="J8" i="9"/>
  <c r="K8" i="9"/>
  <c r="L8" i="9"/>
  <c r="D9" i="9"/>
  <c r="A10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D7" i="8"/>
  <c r="B21" i="8"/>
  <c r="Q3" i="1" l="1"/>
  <c r="O4" i="1"/>
  <c r="D8" i="8"/>
  <c r="K4" i="9"/>
  <c r="H33" i="9"/>
  <c r="L4" i="9"/>
  <c r="F33" i="9"/>
  <c r="A11" i="9"/>
  <c r="D24" i="9"/>
  <c r="B25" i="1"/>
  <c r="A24" i="1"/>
  <c r="B24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C35" i="1" l="1"/>
  <c r="C33" i="1"/>
  <c r="C29" i="1"/>
  <c r="I5" i="1"/>
  <c r="H5" i="1"/>
  <c r="J5" i="1"/>
  <c r="C24" i="1"/>
  <c r="K5" i="1"/>
  <c r="G5" i="1"/>
  <c r="L5" i="1"/>
  <c r="M5" i="1"/>
  <c r="N5" i="1"/>
  <c r="O5" i="1"/>
  <c r="P5" i="1"/>
  <c r="C37" i="1"/>
  <c r="J6" i="1"/>
  <c r="I6" i="1"/>
  <c r="G6" i="1"/>
  <c r="H6" i="1"/>
  <c r="K6" i="1"/>
  <c r="C25" i="1"/>
  <c r="L6" i="1"/>
  <c r="M6" i="1"/>
  <c r="N6" i="1"/>
  <c r="O6" i="1"/>
  <c r="P6" i="1"/>
  <c r="C36" i="1"/>
  <c r="C32" i="1"/>
  <c r="C28" i="1"/>
  <c r="C31" i="1"/>
  <c r="C38" i="1"/>
  <c r="C34" i="1"/>
  <c r="C30" i="1"/>
  <c r="C26" i="1"/>
  <c r="C27" i="1"/>
  <c r="R3" i="1"/>
  <c r="Q6" i="1"/>
  <c r="Q5" i="1"/>
  <c r="P4" i="1"/>
  <c r="D9" i="8"/>
  <c r="D10" i="8" s="1"/>
  <c r="A12" i="9"/>
  <c r="A25" i="1" l="1"/>
  <c r="Q4" i="1"/>
  <c r="R6" i="1"/>
  <c r="S3" i="1"/>
  <c r="R5" i="1"/>
  <c r="A13" i="9"/>
  <c r="D11" i="8"/>
  <c r="R7" i="1"/>
  <c r="A26" i="1"/>
  <c r="F4" i="9" l="1"/>
  <c r="B26" i="1"/>
  <c r="G7" i="1"/>
  <c r="O7" i="1"/>
  <c r="H7" i="1"/>
  <c r="Q7" i="1"/>
  <c r="I7" i="1"/>
  <c r="J7" i="1"/>
  <c r="L7" i="1"/>
  <c r="M7" i="1"/>
  <c r="P7" i="1"/>
  <c r="K7" i="1"/>
  <c r="N7" i="1"/>
  <c r="S6" i="1"/>
  <c r="S5" i="1"/>
  <c r="T3" i="1"/>
  <c r="S7" i="1"/>
  <c r="R4" i="1"/>
  <c r="F5" i="9"/>
  <c r="D12" i="8"/>
  <c r="A14" i="9"/>
  <c r="S8" i="1"/>
  <c r="F9" i="9" l="1"/>
  <c r="B27" i="1"/>
  <c r="P8" i="1"/>
  <c r="M8" i="1"/>
  <c r="K8" i="1"/>
  <c r="J8" i="1"/>
  <c r="N8" i="1"/>
  <c r="O8" i="1"/>
  <c r="Q8" i="1"/>
  <c r="G8" i="1"/>
  <c r="H8" i="1"/>
  <c r="I8" i="1"/>
  <c r="L8" i="1"/>
  <c r="R8" i="1"/>
  <c r="A27" i="1"/>
  <c r="T6" i="1"/>
  <c r="T7" i="1"/>
  <c r="U3" i="1"/>
  <c r="T8" i="1"/>
  <c r="T5" i="1"/>
  <c r="S4" i="1"/>
  <c r="F13" i="9"/>
  <c r="F11" i="9"/>
  <c r="F12" i="9"/>
  <c r="F10" i="9"/>
  <c r="A15" i="9"/>
  <c r="F14" i="9"/>
  <c r="D13" i="8"/>
  <c r="B28" i="1" l="1"/>
  <c r="H9" i="1"/>
  <c r="M9" i="1"/>
  <c r="I9" i="1"/>
  <c r="K9" i="1"/>
  <c r="L9" i="1"/>
  <c r="Q9" i="1"/>
  <c r="N9" i="1"/>
  <c r="G9" i="1"/>
  <c r="O9" i="1"/>
  <c r="J9" i="1"/>
  <c r="P9" i="1"/>
  <c r="R9" i="1"/>
  <c r="S9" i="1"/>
  <c r="T9" i="1"/>
  <c r="A28" i="1"/>
  <c r="T4" i="1"/>
  <c r="U6" i="1"/>
  <c r="U5" i="1"/>
  <c r="U7" i="1"/>
  <c r="U9" i="1"/>
  <c r="U8" i="1"/>
  <c r="A16" i="9"/>
  <c r="F15" i="9"/>
  <c r="D14" i="8"/>
  <c r="U10" i="1"/>
  <c r="G4" i="9" l="1"/>
  <c r="B29" i="1"/>
  <c r="H10" i="1"/>
  <c r="O10" i="1"/>
  <c r="G10" i="1"/>
  <c r="N10" i="1"/>
  <c r="I10" i="1"/>
  <c r="J10" i="1"/>
  <c r="P10" i="1"/>
  <c r="K10" i="1"/>
  <c r="L10" i="1"/>
  <c r="M10" i="1"/>
  <c r="Q10" i="1"/>
  <c r="R10" i="1"/>
  <c r="S10" i="1"/>
  <c r="T10" i="1"/>
  <c r="A29" i="1"/>
  <c r="U4" i="1"/>
  <c r="G5" i="9"/>
  <c r="A17" i="9"/>
  <c r="F16" i="9"/>
  <c r="D15" i="8"/>
  <c r="A30" i="1"/>
  <c r="G9" i="9" l="1"/>
  <c r="B30" i="1"/>
  <c r="I11" i="1"/>
  <c r="J11" i="1"/>
  <c r="P11" i="1"/>
  <c r="M11" i="1"/>
  <c r="Q11" i="1"/>
  <c r="K11" i="1"/>
  <c r="L11" i="1"/>
  <c r="G11" i="1"/>
  <c r="N11" i="1"/>
  <c r="H11" i="1"/>
  <c r="O11" i="1"/>
  <c r="R11" i="1"/>
  <c r="S11" i="1"/>
  <c r="T11" i="1"/>
  <c r="U11" i="1"/>
  <c r="G13" i="9"/>
  <c r="G12" i="9"/>
  <c r="G10" i="9"/>
  <c r="G11" i="9"/>
  <c r="G16" i="9"/>
  <c r="G15" i="9"/>
  <c r="G14" i="9"/>
  <c r="D16" i="8"/>
  <c r="G17" i="9"/>
  <c r="F17" i="9"/>
  <c r="A18" i="9"/>
  <c r="A31" i="1"/>
  <c r="B31" i="1" l="1"/>
  <c r="I12" i="1"/>
  <c r="Q12" i="1"/>
  <c r="L12" i="1"/>
  <c r="O12" i="1"/>
  <c r="M12" i="1"/>
  <c r="N12" i="1"/>
  <c r="P12" i="1"/>
  <c r="J12" i="1"/>
  <c r="K12" i="1"/>
  <c r="G12" i="1"/>
  <c r="H12" i="1"/>
  <c r="R12" i="1"/>
  <c r="S12" i="1"/>
  <c r="T12" i="1"/>
  <c r="U12" i="1"/>
  <c r="F18" i="9"/>
  <c r="G18" i="9"/>
  <c r="A19" i="9"/>
  <c r="D17" i="8"/>
  <c r="A32" i="1" l="1"/>
  <c r="B32" i="1"/>
  <c r="H13" i="1"/>
  <c r="P13" i="1"/>
  <c r="L13" i="1"/>
  <c r="M13" i="1"/>
  <c r="K13" i="1"/>
  <c r="N13" i="1"/>
  <c r="Q13" i="1"/>
  <c r="O13" i="1"/>
  <c r="G13" i="1"/>
  <c r="I13" i="1"/>
  <c r="J13" i="1"/>
  <c r="R13" i="1"/>
  <c r="S13" i="1"/>
  <c r="T13" i="1"/>
  <c r="U13" i="1"/>
  <c r="D18" i="8"/>
  <c r="A20" i="9"/>
  <c r="F19" i="9"/>
  <c r="G19" i="9"/>
  <c r="A33" i="1" l="1"/>
  <c r="B33" i="1"/>
  <c r="G14" i="1"/>
  <c r="Q14" i="1"/>
  <c r="M14" i="1"/>
  <c r="H14" i="1"/>
  <c r="L14" i="1"/>
  <c r="I14" i="1"/>
  <c r="K14" i="1"/>
  <c r="N14" i="1"/>
  <c r="P14" i="1"/>
  <c r="J14" i="1"/>
  <c r="O14" i="1"/>
  <c r="R14" i="1"/>
  <c r="S14" i="1"/>
  <c r="T14" i="1"/>
  <c r="U14" i="1"/>
  <c r="D19" i="8"/>
  <c r="F20" i="9"/>
  <c r="G20" i="9"/>
  <c r="A21" i="9"/>
  <c r="B34" i="1" l="1"/>
  <c r="I15" i="1"/>
  <c r="O15" i="1"/>
  <c r="P15" i="1"/>
  <c r="L15" i="1"/>
  <c r="M15" i="1"/>
  <c r="H15" i="1"/>
  <c r="N15" i="1"/>
  <c r="G15" i="1"/>
  <c r="Q15" i="1"/>
  <c r="J15" i="1"/>
  <c r="K15" i="1"/>
  <c r="R15" i="1"/>
  <c r="S15" i="1"/>
  <c r="T15" i="1"/>
  <c r="U15" i="1"/>
  <c r="A34" i="1"/>
  <c r="A22" i="9"/>
  <c r="F21" i="9"/>
  <c r="G21" i="9"/>
  <c r="D20" i="8"/>
  <c r="A35" i="1"/>
  <c r="B35" i="1" l="1"/>
  <c r="J16" i="1"/>
  <c r="P16" i="1"/>
  <c r="N16" i="1"/>
  <c r="L16" i="1"/>
  <c r="Q16" i="1"/>
  <c r="O16" i="1"/>
  <c r="M16" i="1"/>
  <c r="H16" i="1"/>
  <c r="G16" i="1"/>
  <c r="I16" i="1"/>
  <c r="K16" i="1"/>
  <c r="R16" i="1"/>
  <c r="S16" i="1"/>
  <c r="T16" i="1"/>
  <c r="U16" i="1"/>
  <c r="A23" i="9"/>
  <c r="F22" i="9"/>
  <c r="G22" i="9"/>
  <c r="A36" i="1"/>
  <c r="B36" i="1" l="1"/>
  <c r="M17" i="1"/>
  <c r="P17" i="1"/>
  <c r="J17" i="1"/>
  <c r="N17" i="1"/>
  <c r="H17" i="1"/>
  <c r="O17" i="1"/>
  <c r="G17" i="1"/>
  <c r="I17" i="1"/>
  <c r="K17" i="1"/>
  <c r="Q17" i="1"/>
  <c r="L17" i="1"/>
  <c r="R17" i="1"/>
  <c r="S17" i="1"/>
  <c r="T17" i="1"/>
  <c r="U17" i="1"/>
  <c r="G23" i="9"/>
  <c r="F23" i="9"/>
  <c r="A37" i="1" l="1"/>
  <c r="B37" i="1"/>
  <c r="K18" i="1"/>
  <c r="P18" i="1"/>
  <c r="J18" i="1"/>
  <c r="I18" i="1"/>
  <c r="L18" i="1"/>
  <c r="M18" i="1"/>
  <c r="Q18" i="1"/>
  <c r="H18" i="1"/>
  <c r="N18" i="1"/>
  <c r="G18" i="1"/>
  <c r="O18" i="1"/>
  <c r="R18" i="1"/>
  <c r="S18" i="1"/>
  <c r="T18" i="1"/>
  <c r="U18" i="1"/>
  <c r="A38" i="1"/>
  <c r="F24" i="9"/>
  <c r="G24" i="9"/>
  <c r="B38" i="1" l="1"/>
  <c r="P19" i="1"/>
  <c r="M19" i="1"/>
  <c r="K19" i="1"/>
  <c r="H19" i="1"/>
  <c r="N19" i="1"/>
  <c r="J19" i="1"/>
  <c r="O19" i="1"/>
  <c r="I19" i="1"/>
  <c r="G19" i="1"/>
  <c r="L19" i="1"/>
  <c r="Q19" i="1"/>
  <c r="R19" i="1"/>
  <c r="S19" i="1"/>
  <c r="T19" i="1"/>
  <c r="U19" i="1"/>
  <c r="H4" i="9" l="1"/>
  <c r="H5" i="9"/>
  <c r="E33" i="1" l="1"/>
  <c r="F33" i="1"/>
  <c r="E38" i="1"/>
  <c r="F38" i="1"/>
  <c r="E25" i="1"/>
  <c r="F25" i="1"/>
  <c r="E24" i="1"/>
  <c r="F24" i="1"/>
  <c r="I24" i="1" s="1" a="1"/>
  <c r="E36" i="1"/>
  <c r="F36" i="1"/>
  <c r="E28" i="1"/>
  <c r="F28" i="1"/>
  <c r="E30" i="1"/>
  <c r="F30" i="1"/>
  <c r="E31" i="1"/>
  <c r="F31" i="1"/>
  <c r="E35" i="1"/>
  <c r="F35" i="1"/>
  <c r="E26" i="1"/>
  <c r="F26" i="1"/>
  <c r="E37" i="1"/>
  <c r="F37" i="1"/>
  <c r="E34" i="1"/>
  <c r="F34" i="1"/>
  <c r="E27" i="1"/>
  <c r="F27" i="1"/>
  <c r="E32" i="1"/>
  <c r="F32" i="1"/>
  <c r="E29" i="1"/>
  <c r="F29" i="1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I27" i="1" l="1"/>
  <c r="I38" i="1"/>
  <c r="I36" i="1"/>
  <c r="I24" i="1"/>
  <c r="I37" i="1"/>
  <c r="I34" i="1"/>
  <c r="I32" i="1"/>
  <c r="I35" i="1"/>
  <c r="I30" i="1"/>
  <c r="I28" i="1"/>
  <c r="I26" i="1"/>
  <c r="I33" i="1"/>
  <c r="I31" i="1"/>
  <c r="I25" i="1"/>
  <c r="I29" i="1"/>
  <c r="H24" i="9"/>
  <c r="J35" i="1" l="1"/>
  <c r="J34" i="1" l="1"/>
  <c r="N34" i="1"/>
  <c r="J31" i="1"/>
  <c r="N31" i="1"/>
  <c r="J30" i="1"/>
  <c r="N30" i="1"/>
  <c r="J38" i="1"/>
  <c r="E20" i="8" s="1"/>
  <c r="F20" i="8" s="1"/>
  <c r="G20" i="8" s="1"/>
  <c r="H20" i="8" s="1"/>
  <c r="I20" i="8" s="1"/>
  <c r="N38" i="1"/>
  <c r="J24" i="1"/>
  <c r="E6" i="8" s="1"/>
  <c r="N24" i="1"/>
  <c r="J25" i="1"/>
  <c r="N25" i="1"/>
  <c r="N35" i="1"/>
  <c r="J32" i="1"/>
  <c r="N32" i="1"/>
  <c r="J33" i="1"/>
  <c r="N33" i="1"/>
  <c r="J36" i="1"/>
  <c r="L36" i="1" s="1"/>
  <c r="N36" i="1"/>
  <c r="J28" i="1"/>
  <c r="N28" i="1"/>
  <c r="J37" i="1"/>
  <c r="N37" i="1"/>
  <c r="J27" i="1"/>
  <c r="L28" i="1" s="1"/>
  <c r="N27" i="1"/>
  <c r="J29" i="1"/>
  <c r="N29" i="1"/>
  <c r="J26" i="1"/>
  <c r="N26" i="1"/>
  <c r="E17" i="8"/>
  <c r="L27" i="1" l="1"/>
  <c r="L29" i="1"/>
  <c r="L26" i="1"/>
  <c r="E8" i="8"/>
  <c r="B11" i="9" s="1"/>
  <c r="E7" i="8"/>
  <c r="F7" i="8" s="1"/>
  <c r="G7" i="8" s="1"/>
  <c r="H7" i="8" s="1"/>
  <c r="I7" i="8" s="1"/>
  <c r="E9" i="8"/>
  <c r="B12" i="9" s="1"/>
  <c r="K20" i="8"/>
  <c r="L20" i="8" s="1"/>
  <c r="M20" i="8" s="1"/>
  <c r="B23" i="9"/>
  <c r="C23" i="9" s="1"/>
  <c r="E10" i="8"/>
  <c r="K10" i="8" s="1"/>
  <c r="L10" i="8" s="1"/>
  <c r="M10" i="8" s="1"/>
  <c r="E15" i="8"/>
  <c r="L34" i="1"/>
  <c r="E13" i="8"/>
  <c r="L32" i="1"/>
  <c r="F17" i="8"/>
  <c r="G17" i="8" s="1"/>
  <c r="H17" i="8" s="1"/>
  <c r="I17" i="8" s="1"/>
  <c r="K17" i="8"/>
  <c r="L17" i="8" s="1"/>
  <c r="M17" i="8" s="1"/>
  <c r="B20" i="9"/>
  <c r="C20" i="9" s="1"/>
  <c r="E11" i="8"/>
  <c r="L30" i="1"/>
  <c r="E19" i="8"/>
  <c r="L38" i="1"/>
  <c r="E18" i="8"/>
  <c r="L37" i="1"/>
  <c r="E14" i="8"/>
  <c r="L33" i="1"/>
  <c r="L25" i="1"/>
  <c r="L24" i="1"/>
  <c r="E12" i="8"/>
  <c r="L31" i="1"/>
  <c r="E16" i="8"/>
  <c r="L35" i="1"/>
  <c r="K9" i="8"/>
  <c r="L9" i="8" s="1"/>
  <c r="M9" i="8" s="1"/>
  <c r="B9" i="9"/>
  <c r="F6" i="8"/>
  <c r="G6" i="8" s="1"/>
  <c r="K6" i="8"/>
  <c r="L6" i="8" s="1"/>
  <c r="M6" i="8" s="1"/>
  <c r="K8" i="8" l="1"/>
  <c r="L8" i="8" s="1"/>
  <c r="M8" i="8" s="1"/>
  <c r="F8" i="8"/>
  <c r="G8" i="8" s="1"/>
  <c r="H8" i="8" s="1"/>
  <c r="I8" i="8" s="1"/>
  <c r="F10" i="8"/>
  <c r="G10" i="8" s="1"/>
  <c r="H10" i="8" s="1"/>
  <c r="I10" i="8" s="1"/>
  <c r="B10" i="9"/>
  <c r="K7" i="8"/>
  <c r="L7" i="8" s="1"/>
  <c r="M7" i="8" s="1"/>
  <c r="B13" i="9"/>
  <c r="C13" i="9" s="1"/>
  <c r="F9" i="8"/>
  <c r="G9" i="8" s="1"/>
  <c r="H9" i="8" s="1"/>
  <c r="I9" i="8" s="1"/>
  <c r="F16" i="8"/>
  <c r="G16" i="8" s="1"/>
  <c r="H16" i="8" s="1"/>
  <c r="I16" i="8" s="1"/>
  <c r="B19" i="9"/>
  <c r="C19" i="9" s="1"/>
  <c r="K16" i="8"/>
  <c r="L16" i="8" s="1"/>
  <c r="M16" i="8" s="1"/>
  <c r="B21" i="9"/>
  <c r="C21" i="9" s="1"/>
  <c r="K18" i="8"/>
  <c r="L18" i="8" s="1"/>
  <c r="M18" i="8" s="1"/>
  <c r="F18" i="8"/>
  <c r="G18" i="8" s="1"/>
  <c r="H18" i="8" s="1"/>
  <c r="I18" i="8" s="1"/>
  <c r="F11" i="8"/>
  <c r="G11" i="8" s="1"/>
  <c r="H11" i="8" s="1"/>
  <c r="I11" i="8" s="1"/>
  <c r="K11" i="8"/>
  <c r="L11" i="8" s="1"/>
  <c r="M11" i="8" s="1"/>
  <c r="B14" i="9"/>
  <c r="C14" i="9" s="1"/>
  <c r="F13" i="8"/>
  <c r="G13" i="8" s="1"/>
  <c r="H13" i="8" s="1"/>
  <c r="I13" i="8" s="1"/>
  <c r="B16" i="9"/>
  <c r="C16" i="9" s="1"/>
  <c r="K13" i="8"/>
  <c r="L13" i="8" s="1"/>
  <c r="M13" i="8" s="1"/>
  <c r="B15" i="9"/>
  <c r="C15" i="9" s="1"/>
  <c r="F12" i="8"/>
  <c r="G12" i="8" s="1"/>
  <c r="H12" i="8" s="1"/>
  <c r="I12" i="8" s="1"/>
  <c r="K12" i="8"/>
  <c r="L12" i="8" s="1"/>
  <c r="M12" i="8" s="1"/>
  <c r="B17" i="9"/>
  <c r="C17" i="9" s="1"/>
  <c r="K14" i="8"/>
  <c r="L14" i="8" s="1"/>
  <c r="M14" i="8" s="1"/>
  <c r="F14" i="8"/>
  <c r="G14" i="8" s="1"/>
  <c r="H14" i="8" s="1"/>
  <c r="I14" i="8" s="1"/>
  <c r="K19" i="8"/>
  <c r="L19" i="8" s="1"/>
  <c r="M19" i="8" s="1"/>
  <c r="B22" i="9"/>
  <c r="C22" i="9" s="1"/>
  <c r="F19" i="8"/>
  <c r="G19" i="8" s="1"/>
  <c r="H19" i="8" s="1"/>
  <c r="I19" i="8" s="1"/>
  <c r="B18" i="9"/>
  <c r="C18" i="9" s="1"/>
  <c r="F15" i="8"/>
  <c r="G15" i="8" s="1"/>
  <c r="H15" i="8" s="1"/>
  <c r="I15" i="8" s="1"/>
  <c r="K15" i="8"/>
  <c r="L15" i="8" s="1"/>
  <c r="M15" i="8" s="1"/>
  <c r="C10" i="9"/>
  <c r="H6" i="8"/>
  <c r="C9" i="9"/>
  <c r="C12" i="9"/>
  <c r="C11" i="9"/>
  <c r="M21" i="8" l="1"/>
  <c r="N21" i="8" s="1"/>
  <c r="G21" i="8"/>
  <c r="G26" i="9"/>
  <c r="G28" i="9" s="1"/>
  <c r="F26" i="9"/>
  <c r="F28" i="9" s="1"/>
  <c r="D26" i="9"/>
  <c r="D28" i="9" s="1"/>
  <c r="H26" i="9"/>
  <c r="I6" i="8"/>
  <c r="I21" i="8" s="1"/>
  <c r="I24" i="8" s="1"/>
  <c r="H21" i="8"/>
  <c r="H24" i="8" l="1"/>
  <c r="M25" i="8" s="1"/>
  <c r="N25" i="8" s="1"/>
  <c r="H27" i="9"/>
  <c r="H35" i="9" s="1"/>
  <c r="H34" i="9"/>
  <c r="D27" i="9"/>
  <c r="D29" i="9" s="1"/>
  <c r="D34" i="9"/>
  <c r="D36" i="9"/>
  <c r="G27" i="9"/>
  <c r="G29" i="9" s="1"/>
  <c r="G34" i="9"/>
  <c r="G36" i="9"/>
  <c r="F27" i="9"/>
  <c r="F29" i="9" s="1"/>
  <c r="F34" i="9"/>
  <c r="F36" i="9"/>
  <c r="H28" i="9"/>
  <c r="I27" i="8" l="1"/>
  <c r="M24" i="8"/>
  <c r="N24" i="8" s="1"/>
  <c r="H29" i="9"/>
  <c r="H36" i="9"/>
  <c r="G35" i="9"/>
  <c r="D35" i="9"/>
  <c r="F35" i="9"/>
  <c r="J34" i="9" l="1" a="1"/>
  <c r="J34" i="9" s="1"/>
  <c r="J5" i="9" s="1"/>
  <c r="J35" i="9" l="1"/>
  <c r="K5" i="9" s="1"/>
  <c r="K19" i="9" s="1"/>
  <c r="J36" i="9"/>
  <c r="L5" i="9" s="1"/>
  <c r="L9" i="9" s="1"/>
  <c r="J9" i="9"/>
  <c r="J22" i="9"/>
  <c r="J17" i="9"/>
  <c r="J13" i="9"/>
  <c r="J23" i="9"/>
  <c r="J10" i="9"/>
  <c r="J21" i="9"/>
  <c r="J11" i="9"/>
  <c r="J14" i="9"/>
  <c r="J12" i="9"/>
  <c r="J16" i="9"/>
  <c r="J18" i="9"/>
  <c r="J15" i="9"/>
  <c r="J19" i="9"/>
  <c r="J20" i="9"/>
  <c r="L19" i="9" l="1"/>
  <c r="M19" i="9" s="1"/>
  <c r="K10" i="9"/>
  <c r="K9" i="9"/>
  <c r="M9" i="9" s="1"/>
  <c r="K14" i="9"/>
  <c r="L16" i="9"/>
  <c r="L21" i="9"/>
  <c r="K12" i="9"/>
  <c r="K15" i="9"/>
  <c r="L20" i="9"/>
  <c r="L11" i="9"/>
  <c r="K22" i="9"/>
  <c r="K20" i="9"/>
  <c r="L23" i="9"/>
  <c r="L10" i="9"/>
  <c r="K18" i="9"/>
  <c r="K17" i="9"/>
  <c r="L18" i="9"/>
  <c r="L22" i="9"/>
  <c r="K23" i="9"/>
  <c r="K21" i="9"/>
  <c r="L15" i="9"/>
  <c r="L17" i="9"/>
  <c r="K13" i="9"/>
  <c r="K16" i="9"/>
  <c r="L13" i="9"/>
  <c r="L14" i="9"/>
  <c r="K11" i="9"/>
  <c r="L12" i="9"/>
  <c r="J26" i="9"/>
  <c r="J24" i="9"/>
  <c r="M12" i="9" l="1"/>
  <c r="M10" i="9"/>
  <c r="M20" i="9"/>
  <c r="M22" i="9"/>
  <c r="L26" i="9"/>
  <c r="L27" i="9" s="1"/>
  <c r="M14" i="9"/>
  <c r="M16" i="9"/>
  <c r="M17" i="9"/>
  <c r="K24" i="9"/>
  <c r="M13" i="9"/>
  <c r="M21" i="9"/>
  <c r="M23" i="9"/>
  <c r="M15" i="9"/>
  <c r="L24" i="9"/>
  <c r="M18" i="9"/>
  <c r="K26" i="9"/>
  <c r="K27" i="9" s="1"/>
  <c r="M11" i="9"/>
  <c r="J28" i="9"/>
  <c r="J27" i="9"/>
  <c r="K28" i="9" l="1"/>
  <c r="K29" i="9" s="1"/>
  <c r="J29" i="9"/>
  <c r="L28" i="9"/>
  <c r="L29" i="9" s="1"/>
  <c r="M26" i="9"/>
  <c r="M24" i="9"/>
  <c r="M27" i="9" l="1"/>
  <c r="M28" i="9"/>
  <c r="M29" i="9" l="1"/>
</calcChain>
</file>

<file path=xl/sharedStrings.xml><?xml version="1.0" encoding="utf-8"?>
<sst xmlns="http://schemas.openxmlformats.org/spreadsheetml/2006/main" count="76" uniqueCount="54">
  <si>
    <t>Bond</t>
  </si>
  <si>
    <t>Maturity</t>
  </si>
  <si>
    <t>Coupon</t>
  </si>
  <si>
    <t>Face value</t>
  </si>
  <si>
    <t>Payment matrix C</t>
  </si>
  <si>
    <t>The clean market price</t>
  </si>
  <si>
    <t>Payment time t</t>
  </si>
  <si>
    <t>PV</t>
  </si>
  <si>
    <t>Duration</t>
  </si>
  <si>
    <t>Convexity</t>
  </si>
  <si>
    <t>P(0,t)</t>
  </si>
  <si>
    <t>y(t)</t>
  </si>
  <si>
    <t>The yield curve (continuous compounding)</t>
  </si>
  <si>
    <t>Yield curve</t>
  </si>
  <si>
    <t>Market assumption at 31.12.12</t>
  </si>
  <si>
    <t>Maturity 31.12. …</t>
  </si>
  <si>
    <t>Average yield_annual</t>
  </si>
  <si>
    <t>Total</t>
  </si>
  <si>
    <t>Price of €1</t>
  </si>
  <si>
    <t>Parallel shift</t>
  </si>
  <si>
    <t>PV x C</t>
  </si>
  <si>
    <t>PV x D</t>
  </si>
  <si>
    <t>=</t>
  </si>
  <si>
    <t>Present value</t>
  </si>
  <si>
    <t>Dispersion</t>
  </si>
  <si>
    <t>Duration and convexity</t>
  </si>
  <si>
    <t>Duration only</t>
  </si>
  <si>
    <t>Estimated by</t>
  </si>
  <si>
    <t>Exact new PV</t>
  </si>
  <si>
    <t>spot rate y(t)</t>
  </si>
  <si>
    <t>t^2 x PV</t>
  </si>
  <si>
    <t>t x PV</t>
  </si>
  <si>
    <t>Time t</t>
  </si>
  <si>
    <t>Payments</t>
  </si>
  <si>
    <t>Year</t>
  </si>
  <si>
    <t>New yield curve</t>
  </si>
  <si>
    <t>Actuarial predictions</t>
  </si>
  <si>
    <t>x</t>
  </si>
  <si>
    <t>Weights w1--w3</t>
  </si>
  <si>
    <t>Liability</t>
  </si>
  <si>
    <t>Solve</t>
  </si>
  <si>
    <t>Finding the immunising portfolio</t>
  </si>
  <si>
    <t>Liability cash flow</t>
  </si>
  <si>
    <t>Asset cash flow</t>
  </si>
  <si>
    <t>Bond payments per face value</t>
  </si>
  <si>
    <t>Bond investments (number of bonds)</t>
  </si>
  <si>
    <t>The bonds you use</t>
  </si>
  <si>
    <t>Average yield annual</t>
  </si>
  <si>
    <t>Market price B NPV</t>
  </si>
  <si>
    <t>P(t)=C^(-1)B</t>
  </si>
  <si>
    <t>An assumed liebility cash flow</t>
  </si>
  <si>
    <t>Forward</t>
  </si>
  <si>
    <t>DUMMY</t>
  </si>
  <si>
    <t>Bond payments in absolute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</si>
</sst>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.00_ ;_ * \-#,##0.00_ ;_ * &quot;-&quot;??_ ;_ @_ "/>
    <numFmt numFmtId="165" formatCode="0.0000\ %"/>
    <numFmt numFmtId="166" formatCode="0.000000\ %"/>
    <numFmt numFmtId="167" formatCode="#,##0.0000"/>
    <numFmt numFmtId="168" formatCode="#,##0.000000"/>
    <numFmt numFmtId="169" formatCode="0.000000E+00"/>
    <numFmt numFmtId="170" formatCode="0.000\ %"/>
    <numFmt numFmtId="171" formatCode="0.0000"/>
  </numFmts>
  <fonts count="10" x14ac:knownFonts="1"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15">
    <xf numFmtId="0" fontId="0" fillId="0" borderId="0" xfId="0"/>
    <xf numFmtId="4" fontId="0" fillId="0" borderId="0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10" fontId="2" fillId="0" borderId="0" xfId="1" applyNumberFormat="1" applyFont="1" applyBorder="1" applyAlignment="1">
      <alignment horizontal="right"/>
    </xf>
    <xf numFmtId="166" fontId="2" fillId="0" borderId="0" xfId="1" applyNumberFormat="1" applyFont="1" applyBorder="1" applyAlignment="1">
      <alignment horizontal="right"/>
    </xf>
    <xf numFmtId="3" fontId="0" fillId="0" borderId="0" xfId="0" applyNumberFormat="1" applyBorder="1" applyAlignment="1">
      <alignment horizontal="left"/>
    </xf>
    <xf numFmtId="3" fontId="3" fillId="0" borderId="0" xfId="0" applyNumberFormat="1" applyFont="1" applyBorder="1" applyAlignment="1">
      <alignment horizontal="left"/>
    </xf>
    <xf numFmtId="165" fontId="2" fillId="0" borderId="0" xfId="1" applyNumberFormat="1" applyFont="1" applyBorder="1" applyAlignment="1">
      <alignment horizontal="right"/>
    </xf>
    <xf numFmtId="166" fontId="2" fillId="0" borderId="0" xfId="1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164" fontId="2" fillId="0" borderId="0" xfId="2" applyFont="1" applyBorder="1" applyAlignment="1">
      <alignment horizontal="right"/>
    </xf>
    <xf numFmtId="169" fontId="2" fillId="0" borderId="0" xfId="2" applyNumberFormat="1" applyFont="1" applyBorder="1" applyAlignment="1">
      <alignment horizontal="right"/>
    </xf>
    <xf numFmtId="9" fontId="4" fillId="0" borderId="0" xfId="1" applyFont="1" applyBorder="1" applyAlignment="1">
      <alignment horizontal="right"/>
    </xf>
    <xf numFmtId="164" fontId="2" fillId="2" borderId="4" xfId="2" applyNumberFormat="1" applyFont="1" applyFill="1" applyBorder="1" applyAlignment="1">
      <alignment horizontal="right"/>
    </xf>
    <xf numFmtId="164" fontId="2" fillId="2" borderId="5" xfId="2" applyNumberFormat="1" applyFont="1" applyFill="1" applyBorder="1" applyAlignment="1">
      <alignment horizontal="right"/>
    </xf>
    <xf numFmtId="164" fontId="2" fillId="2" borderId="6" xfId="2" applyNumberFormat="1" applyFont="1" applyFill="1" applyBorder="1" applyAlignment="1">
      <alignment horizontal="right"/>
    </xf>
    <xf numFmtId="164" fontId="2" fillId="2" borderId="7" xfId="2" applyNumberFormat="1" applyFont="1" applyFill="1" applyBorder="1" applyAlignment="1">
      <alignment horizontal="right"/>
    </xf>
    <xf numFmtId="164" fontId="2" fillId="2" borderId="0" xfId="2" applyNumberFormat="1" applyFont="1" applyFill="1" applyBorder="1" applyAlignment="1">
      <alignment horizontal="right"/>
    </xf>
    <xf numFmtId="164" fontId="2" fillId="2" borderId="8" xfId="2" applyNumberFormat="1" applyFont="1" applyFill="1" applyBorder="1" applyAlignment="1">
      <alignment horizontal="right"/>
    </xf>
    <xf numFmtId="164" fontId="2" fillId="2" borderId="9" xfId="2" applyNumberFormat="1" applyFont="1" applyFill="1" applyBorder="1" applyAlignment="1">
      <alignment horizontal="right"/>
    </xf>
    <xf numFmtId="164" fontId="2" fillId="2" borderId="3" xfId="2" applyNumberFormat="1" applyFont="1" applyFill="1" applyBorder="1" applyAlignment="1">
      <alignment horizontal="right"/>
    </xf>
    <xf numFmtId="164" fontId="2" fillId="2" borderId="10" xfId="2" applyNumberFormat="1" applyFont="1" applyFill="1" applyBorder="1" applyAlignment="1">
      <alignment horizontal="right"/>
    </xf>
    <xf numFmtId="168" fontId="0" fillId="2" borderId="1" xfId="0" applyNumberFormat="1" applyFill="1" applyBorder="1" applyAlignment="1">
      <alignment horizontal="right"/>
    </xf>
    <xf numFmtId="168" fontId="0" fillId="2" borderId="2" xfId="0" applyNumberFormat="1" applyFill="1" applyBorder="1" applyAlignment="1">
      <alignment horizontal="right"/>
    </xf>
    <xf numFmtId="10" fontId="4" fillId="0" borderId="0" xfId="1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0" fontId="1" fillId="0" borderId="0" xfId="3" applyFont="1"/>
    <xf numFmtId="0" fontId="1" fillId="0" borderId="0" xfId="3" applyFont="1" applyAlignment="1">
      <alignment horizontal="center"/>
    </xf>
    <xf numFmtId="0" fontId="7" fillId="0" borderId="0" xfId="3" applyFont="1" applyAlignment="1">
      <alignment horizontal="right"/>
    </xf>
    <xf numFmtId="0" fontId="1" fillId="0" borderId="0" xfId="3" applyFont="1" applyAlignment="1">
      <alignment horizontal="right"/>
    </xf>
    <xf numFmtId="170" fontId="1" fillId="0" borderId="0" xfId="3" applyNumberFormat="1" applyFont="1"/>
    <xf numFmtId="0" fontId="1" fillId="0" borderId="11" xfId="3" applyFont="1" applyBorder="1" applyAlignment="1">
      <alignment horizontal="right"/>
    </xf>
    <xf numFmtId="0" fontId="1" fillId="0" borderId="14" xfId="3" applyFont="1" applyBorder="1" applyAlignment="1">
      <alignment horizontal="right"/>
    </xf>
    <xf numFmtId="3" fontId="1" fillId="0" borderId="14" xfId="3" applyNumberFormat="1" applyFont="1" applyBorder="1" applyAlignment="1">
      <alignment horizontal="right"/>
    </xf>
    <xf numFmtId="3" fontId="1" fillId="0" borderId="11" xfId="3" applyNumberFormat="1" applyFont="1" applyBorder="1" applyAlignment="1">
      <alignment horizontal="right"/>
    </xf>
    <xf numFmtId="4" fontId="1" fillId="0" borderId="8" xfId="3" applyNumberFormat="1" applyFont="1" applyBorder="1"/>
    <xf numFmtId="4" fontId="1" fillId="0" borderId="10" xfId="3" applyNumberFormat="1" applyFont="1" applyBorder="1"/>
    <xf numFmtId="3" fontId="1" fillId="0" borderId="0" xfId="3" applyNumberFormat="1" applyFont="1" applyAlignment="1">
      <alignment horizontal="right"/>
    </xf>
    <xf numFmtId="3" fontId="1" fillId="0" borderId="16" xfId="3" applyNumberFormat="1" applyFont="1" applyBorder="1" applyAlignment="1">
      <alignment horizontal="right"/>
    </xf>
    <xf numFmtId="0" fontId="1" fillId="0" borderId="16" xfId="3" applyFont="1" applyBorder="1" applyAlignment="1">
      <alignment horizontal="right"/>
    </xf>
    <xf numFmtId="3" fontId="1" fillId="0" borderId="12" xfId="3" applyNumberFormat="1" applyFont="1" applyBorder="1" applyAlignment="1">
      <alignment horizontal="right"/>
    </xf>
    <xf numFmtId="166" fontId="1" fillId="0" borderId="0" xfId="6" applyNumberFormat="1" applyFont="1" applyAlignment="1">
      <alignment horizontal="right"/>
    </xf>
    <xf numFmtId="165" fontId="1" fillId="0" borderId="0" xfId="6" applyNumberFormat="1" applyFont="1" applyFill="1" applyAlignment="1">
      <alignment horizontal="right"/>
    </xf>
    <xf numFmtId="3" fontId="1" fillId="0" borderId="9" xfId="3" applyNumberFormat="1" applyFont="1" applyBorder="1" applyAlignment="1">
      <alignment horizontal="right"/>
    </xf>
    <xf numFmtId="3" fontId="1" fillId="0" borderId="7" xfId="3" applyNumberFormat="1" applyFont="1" applyBorder="1" applyAlignment="1">
      <alignment horizontal="right"/>
    </xf>
    <xf numFmtId="3" fontId="1" fillId="0" borderId="7" xfId="6" applyNumberFormat="1" applyFont="1" applyBorder="1" applyAlignment="1">
      <alignment horizontal="right"/>
    </xf>
    <xf numFmtId="0" fontId="1" fillId="0" borderId="3" xfId="3" applyFont="1" applyBorder="1" applyAlignment="1">
      <alignment horizontal="right"/>
    </xf>
    <xf numFmtId="3" fontId="1" fillId="0" borderId="12" xfId="3" applyNumberFormat="1" applyFont="1" applyBorder="1" applyAlignment="1">
      <alignment horizontal="left"/>
    </xf>
    <xf numFmtId="10" fontId="1" fillId="0" borderId="0" xfId="6" applyNumberFormat="1" applyFont="1" applyAlignment="1">
      <alignment horizontal="right"/>
    </xf>
    <xf numFmtId="10" fontId="4" fillId="0" borderId="0" xfId="6" applyNumberFormat="1" applyFont="1" applyAlignment="1">
      <alignment horizontal="right"/>
    </xf>
    <xf numFmtId="0" fontId="1" fillId="0" borderId="0" xfId="3" applyFont="1" applyAlignment="1">
      <alignment horizontal="left"/>
    </xf>
    <xf numFmtId="3" fontId="1" fillId="3" borderId="2" xfId="3" applyNumberFormat="1" applyFont="1" applyFill="1" applyBorder="1"/>
    <xf numFmtId="4" fontId="1" fillId="0" borderId="3" xfId="3" applyNumberFormat="1" applyFont="1" applyBorder="1"/>
    <xf numFmtId="4" fontId="1" fillId="0" borderId="9" xfId="3" applyNumberFormat="1" applyFont="1" applyBorder="1"/>
    <xf numFmtId="3" fontId="1" fillId="0" borderId="2" xfId="3" applyNumberFormat="1" applyFont="1" applyBorder="1"/>
    <xf numFmtId="3" fontId="1" fillId="3" borderId="1" xfId="3" applyNumberFormat="1" applyFont="1" applyFill="1" applyBorder="1"/>
    <xf numFmtId="4" fontId="1" fillId="0" borderId="0" xfId="3" applyNumberFormat="1" applyFont="1" applyBorder="1"/>
    <xf numFmtId="4" fontId="1" fillId="0" borderId="7" xfId="3" applyNumberFormat="1" applyFont="1" applyBorder="1"/>
    <xf numFmtId="3" fontId="1" fillId="0" borderId="1" xfId="3" applyNumberFormat="1" applyFont="1" applyBorder="1"/>
    <xf numFmtId="3" fontId="1" fillId="3" borderId="13" xfId="3" applyNumberFormat="1" applyFont="1" applyFill="1" applyBorder="1"/>
    <xf numFmtId="4" fontId="1" fillId="0" borderId="6" xfId="3" applyNumberFormat="1" applyFont="1" applyBorder="1"/>
    <xf numFmtId="4" fontId="1" fillId="0" borderId="5" xfId="3" applyNumberFormat="1" applyFont="1" applyBorder="1"/>
    <xf numFmtId="4" fontId="1" fillId="0" borderId="4" xfId="3" applyNumberFormat="1" applyFont="1" applyBorder="1"/>
    <xf numFmtId="3" fontId="1" fillId="0" borderId="13" xfId="3" applyNumberFormat="1" applyFont="1" applyBorder="1"/>
    <xf numFmtId="3" fontId="1" fillId="0" borderId="15" xfId="3" applyNumberFormat="1" applyFont="1" applyBorder="1" applyAlignment="1">
      <alignment horizontal="right"/>
    </xf>
    <xf numFmtId="3" fontId="1" fillId="3" borderId="11" xfId="3" applyNumberFormat="1" applyFont="1" applyFill="1" applyBorder="1"/>
    <xf numFmtId="0" fontId="8" fillId="0" borderId="0" xfId="3" applyFont="1"/>
    <xf numFmtId="171" fontId="1" fillId="0" borderId="11" xfId="3" applyNumberFormat="1" applyFont="1" applyBorder="1"/>
    <xf numFmtId="4" fontId="1" fillId="0" borderId="11" xfId="3" applyNumberFormat="1" applyFont="1" applyBorder="1"/>
    <xf numFmtId="0" fontId="1" fillId="0" borderId="11" xfId="3" applyFont="1" applyBorder="1"/>
    <xf numFmtId="3" fontId="1" fillId="0" borderId="11" xfId="3" applyNumberFormat="1" applyFont="1" applyBorder="1"/>
    <xf numFmtId="3" fontId="1" fillId="0" borderId="0" xfId="3" applyNumberFormat="1" applyFont="1" applyBorder="1"/>
    <xf numFmtId="3" fontId="1" fillId="0" borderId="0" xfId="3" applyNumberFormat="1" applyFont="1"/>
    <xf numFmtId="164" fontId="1" fillId="0" borderId="11" xfId="7" applyFont="1" applyBorder="1"/>
    <xf numFmtId="164" fontId="1" fillId="0" borderId="14" xfId="7" applyFont="1" applyBorder="1"/>
    <xf numFmtId="164" fontId="1" fillId="0" borderId="15" xfId="7" applyFont="1" applyBorder="1"/>
    <xf numFmtId="164" fontId="1" fillId="0" borderId="12" xfId="7" applyFont="1" applyBorder="1"/>
    <xf numFmtId="4" fontId="1" fillId="0" borderId="11" xfId="3" applyNumberFormat="1" applyFont="1" applyBorder="1" applyAlignment="1">
      <alignment horizontal="right"/>
    </xf>
    <xf numFmtId="2" fontId="1" fillId="0" borderId="0" xfId="3" applyNumberFormat="1" applyFont="1" applyBorder="1"/>
    <xf numFmtId="164" fontId="1" fillId="0" borderId="2" xfId="7" applyFont="1" applyFill="1" applyBorder="1"/>
    <xf numFmtId="164" fontId="1" fillId="0" borderId="8" xfId="7" applyFont="1" applyBorder="1"/>
    <xf numFmtId="164" fontId="1" fillId="0" borderId="0" xfId="7" applyFont="1" applyBorder="1"/>
    <xf numFmtId="164" fontId="1" fillId="0" borderId="7" xfId="7" applyFont="1" applyBorder="1"/>
    <xf numFmtId="164" fontId="1" fillId="0" borderId="10" xfId="7" applyFont="1" applyBorder="1"/>
    <xf numFmtId="164" fontId="1" fillId="0" borderId="2" xfId="7" applyFont="1" applyBorder="1"/>
    <xf numFmtId="167" fontId="1" fillId="0" borderId="10" xfId="8" applyNumberFormat="1" applyFont="1" applyBorder="1"/>
    <xf numFmtId="166" fontId="1" fillId="0" borderId="2" xfId="8" applyNumberFormat="1" applyFont="1" applyBorder="1"/>
    <xf numFmtId="1" fontId="1" fillId="0" borderId="2" xfId="3" applyNumberFormat="1" applyFont="1" applyBorder="1"/>
    <xf numFmtId="164" fontId="1" fillId="0" borderId="1" xfId="7" applyFont="1" applyFill="1" applyBorder="1"/>
    <xf numFmtId="164" fontId="1" fillId="0" borderId="1" xfId="7" applyFont="1" applyBorder="1"/>
    <xf numFmtId="167" fontId="1" fillId="0" borderId="8" xfId="8" applyNumberFormat="1" applyFont="1" applyBorder="1"/>
    <xf numFmtId="166" fontId="1" fillId="0" borderId="1" xfId="8" applyNumberFormat="1" applyFont="1" applyBorder="1"/>
    <xf numFmtId="1" fontId="1" fillId="0" borderId="1" xfId="3" applyNumberFormat="1" applyFont="1" applyBorder="1"/>
    <xf numFmtId="3" fontId="1" fillId="0" borderId="11" xfId="3" applyNumberFormat="1" applyFont="1" applyBorder="1" applyAlignment="1">
      <alignment horizontal="right" wrapText="1"/>
    </xf>
    <xf numFmtId="3" fontId="1" fillId="0" borderId="14" xfId="3" applyNumberFormat="1" applyFont="1" applyBorder="1" applyAlignment="1">
      <alignment horizontal="right" wrapText="1"/>
    </xf>
    <xf numFmtId="3" fontId="1" fillId="0" borderId="15" xfId="3" applyNumberFormat="1" applyFont="1" applyBorder="1" applyAlignment="1">
      <alignment horizontal="right" wrapText="1"/>
    </xf>
    <xf numFmtId="3" fontId="1" fillId="0" borderId="12" xfId="3" applyNumberFormat="1" applyFont="1" applyBorder="1" applyAlignment="1">
      <alignment horizontal="right" wrapText="1"/>
    </xf>
    <xf numFmtId="0" fontId="1" fillId="0" borderId="11" xfId="3" applyFont="1" applyBorder="1" applyAlignment="1">
      <alignment horizontal="right" wrapText="1"/>
    </xf>
    <xf numFmtId="0" fontId="1" fillId="0" borderId="15" xfId="3" applyFont="1" applyBorder="1" applyAlignment="1">
      <alignment horizontal="center"/>
    </xf>
    <xf numFmtId="0" fontId="1" fillId="0" borderId="12" xfId="3" applyFont="1" applyBorder="1"/>
    <xf numFmtId="0" fontId="1" fillId="0" borderId="14" xfId="3" applyFont="1" applyBorder="1"/>
    <xf numFmtId="3" fontId="1" fillId="3" borderId="11" xfId="3" applyNumberFormat="1" applyFont="1" applyFill="1" applyBorder="1" applyAlignment="1">
      <alignment horizontal="right"/>
    </xf>
    <xf numFmtId="10" fontId="1" fillId="0" borderId="11" xfId="3" applyNumberFormat="1" applyFont="1" applyBorder="1"/>
    <xf numFmtId="0" fontId="9" fillId="0" borderId="11" xfId="3" applyFont="1" applyBorder="1"/>
    <xf numFmtId="3" fontId="1" fillId="4" borderId="11" xfId="3" applyNumberFormat="1" applyFont="1" applyFill="1" applyBorder="1"/>
    <xf numFmtId="171" fontId="1" fillId="4" borderId="11" xfId="3" applyNumberFormat="1" applyFont="1" applyFill="1" applyBorder="1"/>
    <xf numFmtId="3" fontId="0" fillId="0" borderId="3" xfId="0" applyNumberFormat="1" applyBorder="1" applyAlignment="1">
      <alignment horizontal="right" wrapText="1"/>
    </xf>
    <xf numFmtId="3" fontId="4" fillId="0" borderId="1" xfId="3" applyNumberFormat="1" applyFont="1" applyBorder="1" applyAlignment="1">
      <alignment horizontal="right"/>
    </xf>
    <xf numFmtId="3" fontId="4" fillId="0" borderId="2" xfId="3" applyNumberFormat="1" applyFont="1" applyBorder="1" applyAlignment="1">
      <alignment horizontal="right"/>
    </xf>
    <xf numFmtId="166" fontId="4" fillId="0" borderId="0" xfId="1" applyNumberFormat="1" applyFont="1" applyBorder="1" applyAlignment="1">
      <alignment horizontal="right"/>
    </xf>
    <xf numFmtId="4" fontId="4" fillId="4" borderId="0" xfId="0" applyNumberFormat="1" applyFont="1" applyFill="1" applyBorder="1" applyAlignment="1">
      <alignment horizontal="right"/>
    </xf>
    <xf numFmtId="10" fontId="4" fillId="4" borderId="0" xfId="1" applyNumberFormat="1" applyFont="1" applyFill="1" applyBorder="1" applyAlignment="1">
      <alignment horizontal="right"/>
    </xf>
    <xf numFmtId="166" fontId="4" fillId="4" borderId="0" xfId="1" applyNumberFormat="1" applyFont="1" applyFill="1" applyBorder="1" applyAlignment="1">
      <alignment horizontal="right"/>
    </xf>
    <xf numFmtId="166" fontId="0" fillId="0" borderId="0" xfId="1" applyNumberFormat="1" applyFont="1" applyBorder="1" applyAlignment="1">
      <alignment horizontal="left"/>
    </xf>
  </cellXfs>
  <cellStyles count="9">
    <cellStyle name="Comma" xfId="2" builtinId="3"/>
    <cellStyle name="Comma 2" xfId="5"/>
    <cellStyle name="Comma 3" xfId="7"/>
    <cellStyle name="Normal" xfId="0" builtinId="0"/>
    <cellStyle name="Normal 2" xfId="3"/>
    <cellStyle name="Percent" xfId="1" builtinId="5"/>
    <cellStyle name="Percent 2" xfId="4"/>
    <cellStyle name="Percent 3" xfId="8"/>
    <cellStyle name="Pros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'Yield curve estimation'!$J$23</c:f>
              <c:strCache>
                <c:ptCount val="1"/>
                <c:pt idx="0">
                  <c:v>y(t)</c:v>
                </c:pt>
              </c:strCache>
            </c:strRef>
          </c:tx>
          <c:xVal>
            <c:numRef>
              <c:f>'Yield curve estimation'!$H$24:$H$38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'Yield curve estimation'!$J$24:$J$38</c:f>
              <c:numCache>
                <c:formatCode>0.0000\ %</c:formatCode>
                <c:ptCount val="10"/>
                <c:pt idx="0">
                  <c:v>7.6457275378575065E-2</c:v>
                </c:pt>
                <c:pt idx="1">
                  <c:v>7.3324957709176575E-2</c:v>
                </c:pt>
                <c:pt idx="2">
                  <c:v>7.0580943753493816E-2</c:v>
                </c:pt>
                <c:pt idx="3">
                  <c:v>6.819077694139955E-2</c:v>
                </c:pt>
                <c:pt idx="4">
                  <c:v>6.6115251087339844E-2</c:v>
                </c:pt>
                <c:pt idx="5">
                  <c:v>6.4314980333505772E-2</c:v>
                </c:pt>
                <c:pt idx="6">
                  <c:v>6.2752899242412577E-2</c:v>
                </c:pt>
                <c:pt idx="7">
                  <c:v>6.1395532992511763E-2</c:v>
                </c:pt>
                <c:pt idx="8">
                  <c:v>6.0213340195811371E-2</c:v>
                </c:pt>
                <c:pt idx="9">
                  <c:v>5.9180735340024569E-2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A3-44ED-9B9C-8541DC2C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856880"/>
        <c:axId val="292857272"/>
      </c:scatterChart>
      <c:scatterChart>
        <c:scatterStyle val="smoothMarker"/>
        <c:varyColors val="0"/>
        <c:ser>
          <c:idx val="0"/>
          <c:order val="0"/>
          <c:tx>
            <c:strRef>
              <c:f>'Yield curve estimation'!$I$23</c:f>
              <c:strCache>
                <c:ptCount val="1"/>
                <c:pt idx="0">
                  <c:v>P(t)=C^(-1)B</c:v>
                </c:pt>
              </c:strCache>
            </c:strRef>
          </c:tx>
          <c:xVal>
            <c:numRef>
              <c:f>'Yield curve estimation'!$H$24:$H$38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'Yield curve estimation'!$I$24:$I$38</c:f>
              <c:numCache>
                <c:formatCode>#\ ##0.000000</c:formatCode>
                <c:ptCount val="10"/>
                <c:pt idx="0">
                  <c:v>0.92639249321188222</c:v>
                </c:pt>
                <c:pt idx="1">
                  <c:v>0.86359625623573122</c:v>
                </c:pt>
                <c:pt idx="2">
                  <c:v>0.80917276475112909</c:v>
                </c:pt>
                <c:pt idx="3">
                  <c:v>0.76127310595714537</c:v>
                </c:pt>
                <c:pt idx="4">
                  <c:v>0.71850956906565877</c:v>
                </c:pt>
                <c:pt idx="5">
                  <c:v>0.67984538477195566</c:v>
                </c:pt>
                <c:pt idx="6">
                  <c:v>0.64450654938169849</c:v>
                </c:pt>
                <c:pt idx="7">
                  <c:v>0.61191355041458761</c:v>
                </c:pt>
                <c:pt idx="8">
                  <c:v>0.5816304132410679</c:v>
                </c:pt>
                <c:pt idx="9">
                  <c:v>0.55332632424873385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1A3-44ED-9B9C-8541DC2C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857664"/>
        <c:axId val="292858056"/>
      </c:scatterChart>
      <c:valAx>
        <c:axId val="29285688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92857272"/>
        <c:crosses val="autoZero"/>
        <c:crossBetween val="midCat"/>
      </c:valAx>
      <c:valAx>
        <c:axId val="292857272"/>
        <c:scaling>
          <c:orientation val="minMax"/>
        </c:scaling>
        <c:delete val="0"/>
        <c:axPos val="l"/>
        <c:majorGridlines/>
        <c:numFmt formatCode="0.0000\ 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92856880"/>
        <c:crosses val="autoZero"/>
        <c:crossBetween val="midCat"/>
      </c:valAx>
      <c:valAx>
        <c:axId val="29285766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92858056"/>
        <c:crosses val="autoZero"/>
        <c:crossBetween val="midCat"/>
      </c:valAx>
      <c:valAx>
        <c:axId val="292858056"/>
        <c:scaling>
          <c:orientation val="minMax"/>
          <c:max val="1"/>
          <c:min val="0"/>
        </c:scaling>
        <c:delete val="0"/>
        <c:axPos val="r"/>
        <c:numFmt formatCode="#\ ##0.000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92857664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46051615301360804"/>
          <c:y val="0.52750974976295506"/>
          <c:w val="0.17388484300809487"/>
          <c:h val="0.1077654516640253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00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tabSelected="1" zoomScaleNormal="100" workbookViewId="0">
      <pane xSplit="2" ySplit="4" topLeftCell="C5" activePane="bottomRight" state="frozen"/>
      <selection activeCell="J23" sqref="J23"/>
      <selection pane="topRight" activeCell="J23" sqref="J23"/>
      <selection pane="bottomLeft" activeCell="J23" sqref="J23"/>
      <selection pane="bottomRight" activeCell="Q1" sqref="Q1:U1048576"/>
    </sheetView>
  </sheetViews>
  <sheetFormatPr defaultColWidth="11" defaultRowHeight="11.25" x14ac:dyDescent="0.2"/>
  <cols>
    <col min="1" max="1" width="11" style="2" customWidth="1"/>
    <col min="2" max="2" width="15.1640625" style="2" bestFit="1" customWidth="1"/>
    <col min="3" max="4" width="11" style="2" customWidth="1"/>
    <col min="5" max="5" width="17.83203125" style="2" bestFit="1" customWidth="1"/>
    <col min="6" max="6" width="12.6640625" style="2" bestFit="1" customWidth="1"/>
    <col min="7" max="7" width="11.6640625" style="2" customWidth="1"/>
    <col min="8" max="8" width="8.83203125" style="2" customWidth="1"/>
    <col min="9" max="9" width="11.6640625" style="2" customWidth="1"/>
    <col min="10" max="10" width="8.5" style="2" bestFit="1" customWidth="1"/>
    <col min="11" max="11" width="7.33203125" style="2" bestFit="1" customWidth="1"/>
    <col min="12" max="12" width="8.5" style="2" bestFit="1" customWidth="1"/>
    <col min="13" max="13" width="7.33203125" style="2" bestFit="1" customWidth="1"/>
    <col min="14" max="14" width="8.5" style="2" bestFit="1" customWidth="1"/>
    <col min="15" max="16" width="7.33203125" style="2" bestFit="1" customWidth="1"/>
    <col min="17" max="21" width="7.33203125" style="2" hidden="1" customWidth="1"/>
    <col min="22" max="16384" width="11" style="2"/>
  </cols>
  <sheetData>
    <row r="1" spans="1:21" x14ac:dyDescent="0.2"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x14ac:dyDescent="0.2">
      <c r="A2" s="6" t="s">
        <v>14</v>
      </c>
      <c r="F2" s="12"/>
      <c r="G2" s="5" t="s">
        <v>4</v>
      </c>
    </row>
    <row r="3" spans="1:21" x14ac:dyDescent="0.2">
      <c r="G3" s="2">
        <v>2013</v>
      </c>
      <c r="H3" s="2">
        <f t="shared" ref="H3:U4" si="0">+G3+1</f>
        <v>2014</v>
      </c>
      <c r="I3" s="2">
        <f t="shared" si="0"/>
        <v>2015</v>
      </c>
      <c r="J3" s="2">
        <f t="shared" si="0"/>
        <v>2016</v>
      </c>
      <c r="K3" s="2">
        <f t="shared" si="0"/>
        <v>2017</v>
      </c>
      <c r="L3" s="2">
        <f t="shared" si="0"/>
        <v>2018</v>
      </c>
      <c r="M3" s="2">
        <f t="shared" si="0"/>
        <v>2019</v>
      </c>
      <c r="N3" s="2">
        <f t="shared" si="0"/>
        <v>2020</v>
      </c>
      <c r="O3" s="2">
        <f t="shared" si="0"/>
        <v>2021</v>
      </c>
      <c r="P3" s="2">
        <f t="shared" si="0"/>
        <v>2022</v>
      </c>
      <c r="Q3" s="2">
        <f t="shared" si="0"/>
        <v>2023</v>
      </c>
      <c r="R3" s="2">
        <f t="shared" si="0"/>
        <v>2024</v>
      </c>
      <c r="S3" s="2">
        <f t="shared" si="0"/>
        <v>2025</v>
      </c>
      <c r="T3" s="2">
        <f t="shared" si="0"/>
        <v>2026</v>
      </c>
      <c r="U3" s="2">
        <f t="shared" si="0"/>
        <v>2027</v>
      </c>
    </row>
    <row r="4" spans="1:21" x14ac:dyDescent="0.2">
      <c r="A4" s="9" t="s">
        <v>0</v>
      </c>
      <c r="B4" s="9" t="s">
        <v>15</v>
      </c>
      <c r="C4" s="9" t="s">
        <v>3</v>
      </c>
      <c r="D4" s="9" t="s">
        <v>2</v>
      </c>
      <c r="E4" s="9" t="s">
        <v>16</v>
      </c>
      <c r="G4" s="2">
        <v>1</v>
      </c>
      <c r="H4" s="2">
        <f t="shared" si="0"/>
        <v>2</v>
      </c>
      <c r="I4" s="2">
        <f t="shared" si="0"/>
        <v>3</v>
      </c>
      <c r="J4" s="2">
        <f t="shared" si="0"/>
        <v>4</v>
      </c>
      <c r="K4" s="2">
        <f t="shared" si="0"/>
        <v>5</v>
      </c>
      <c r="L4" s="2">
        <f t="shared" si="0"/>
        <v>6</v>
      </c>
      <c r="M4" s="2">
        <f t="shared" si="0"/>
        <v>7</v>
      </c>
      <c r="N4" s="2">
        <f t="shared" si="0"/>
        <v>8</v>
      </c>
      <c r="O4" s="2">
        <f t="shared" si="0"/>
        <v>9</v>
      </c>
      <c r="P4" s="2">
        <f t="shared" si="0"/>
        <v>10</v>
      </c>
      <c r="Q4" s="2">
        <f t="shared" si="0"/>
        <v>11</v>
      </c>
      <c r="R4" s="2">
        <f t="shared" si="0"/>
        <v>12</v>
      </c>
      <c r="S4" s="2">
        <f t="shared" si="0"/>
        <v>13</v>
      </c>
      <c r="T4" s="2">
        <f t="shared" si="0"/>
        <v>14</v>
      </c>
      <c r="U4" s="2">
        <f t="shared" si="0"/>
        <v>15</v>
      </c>
    </row>
    <row r="5" spans="1:21" x14ac:dyDescent="0.2">
      <c r="A5" s="25">
        <v>1</v>
      </c>
      <c r="B5" s="25">
        <v>2013</v>
      </c>
      <c r="C5" s="26">
        <v>100</v>
      </c>
      <c r="D5" s="24">
        <v>0.05</v>
      </c>
      <c r="E5" s="110">
        <v>7.9456070000000004E-2</v>
      </c>
      <c r="F5" s="8"/>
      <c r="G5" s="13">
        <f t="shared" ref="G5:U16" si="1">$C5*$D5*(G$3&lt;=$B5)+$C5*(G$3=$B5)</f>
        <v>105</v>
      </c>
      <c r="H5" s="14">
        <f t="shared" si="1"/>
        <v>0</v>
      </c>
      <c r="I5" s="14">
        <f t="shared" si="1"/>
        <v>0</v>
      </c>
      <c r="J5" s="14">
        <f t="shared" si="1"/>
        <v>0</v>
      </c>
      <c r="K5" s="14">
        <f t="shared" si="1"/>
        <v>0</v>
      </c>
      <c r="L5" s="14">
        <f t="shared" si="1"/>
        <v>0</v>
      </c>
      <c r="M5" s="14">
        <f t="shared" si="1"/>
        <v>0</v>
      </c>
      <c r="N5" s="14">
        <f t="shared" si="1"/>
        <v>0</v>
      </c>
      <c r="O5" s="14">
        <f t="shared" si="1"/>
        <v>0</v>
      </c>
      <c r="P5" s="14">
        <f t="shared" si="1"/>
        <v>0</v>
      </c>
      <c r="Q5" s="14">
        <f t="shared" si="1"/>
        <v>0</v>
      </c>
      <c r="R5" s="14">
        <f t="shared" si="1"/>
        <v>0</v>
      </c>
      <c r="S5" s="14">
        <f t="shared" si="1"/>
        <v>0</v>
      </c>
      <c r="T5" s="14">
        <f t="shared" si="1"/>
        <v>0</v>
      </c>
      <c r="U5" s="15">
        <f t="shared" si="1"/>
        <v>0</v>
      </c>
    </row>
    <row r="6" spans="1:21" x14ac:dyDescent="0.2">
      <c r="A6" s="25">
        <v>2</v>
      </c>
      <c r="B6" s="25">
        <f t="shared" ref="B6:B19" si="2">+B5+1</f>
        <v>2014</v>
      </c>
      <c r="C6" s="26">
        <v>100</v>
      </c>
      <c r="D6" s="24">
        <v>0.05</v>
      </c>
      <c r="E6" s="110">
        <v>7.6164239999999994E-2</v>
      </c>
      <c r="F6" s="8"/>
      <c r="G6" s="16">
        <f t="shared" si="1"/>
        <v>5</v>
      </c>
      <c r="H6" s="17">
        <f t="shared" si="1"/>
        <v>105</v>
      </c>
      <c r="I6" s="17">
        <f t="shared" si="1"/>
        <v>0</v>
      </c>
      <c r="J6" s="17">
        <f t="shared" si="1"/>
        <v>0</v>
      </c>
      <c r="K6" s="17">
        <f t="shared" si="1"/>
        <v>0</v>
      </c>
      <c r="L6" s="17">
        <f t="shared" si="1"/>
        <v>0</v>
      </c>
      <c r="M6" s="17">
        <f t="shared" si="1"/>
        <v>0</v>
      </c>
      <c r="N6" s="17">
        <f t="shared" si="1"/>
        <v>0</v>
      </c>
      <c r="O6" s="17">
        <f t="shared" si="1"/>
        <v>0</v>
      </c>
      <c r="P6" s="17">
        <f t="shared" si="1"/>
        <v>0</v>
      </c>
      <c r="Q6" s="17">
        <f t="shared" si="1"/>
        <v>0</v>
      </c>
      <c r="R6" s="17">
        <f t="shared" si="1"/>
        <v>0</v>
      </c>
      <c r="S6" s="17">
        <f t="shared" si="1"/>
        <v>0</v>
      </c>
      <c r="T6" s="17">
        <f t="shared" si="1"/>
        <v>0</v>
      </c>
      <c r="U6" s="18">
        <f t="shared" si="1"/>
        <v>0</v>
      </c>
    </row>
    <row r="7" spans="1:21" x14ac:dyDescent="0.2">
      <c r="A7" s="25">
        <v>3</v>
      </c>
      <c r="B7" s="25">
        <f t="shared" si="2"/>
        <v>2015</v>
      </c>
      <c r="C7" s="26">
        <v>100</v>
      </c>
      <c r="D7" s="24">
        <v>0.05</v>
      </c>
      <c r="E7" s="110">
        <v>7.3335789999999998E-2</v>
      </c>
      <c r="F7" s="8"/>
      <c r="G7" s="16">
        <f t="shared" si="1"/>
        <v>5</v>
      </c>
      <c r="H7" s="17">
        <f t="shared" si="1"/>
        <v>5</v>
      </c>
      <c r="I7" s="17">
        <f t="shared" si="1"/>
        <v>105</v>
      </c>
      <c r="J7" s="17">
        <f t="shared" si="1"/>
        <v>0</v>
      </c>
      <c r="K7" s="17">
        <f t="shared" si="1"/>
        <v>0</v>
      </c>
      <c r="L7" s="17">
        <f t="shared" si="1"/>
        <v>0</v>
      </c>
      <c r="M7" s="17">
        <f t="shared" si="1"/>
        <v>0</v>
      </c>
      <c r="N7" s="17">
        <f t="shared" si="1"/>
        <v>0</v>
      </c>
      <c r="O7" s="17">
        <f t="shared" si="1"/>
        <v>0</v>
      </c>
      <c r="P7" s="17">
        <f t="shared" si="1"/>
        <v>0</v>
      </c>
      <c r="Q7" s="17">
        <f t="shared" si="1"/>
        <v>0</v>
      </c>
      <c r="R7" s="17">
        <f t="shared" si="1"/>
        <v>0</v>
      </c>
      <c r="S7" s="17">
        <f t="shared" si="1"/>
        <v>0</v>
      </c>
      <c r="T7" s="17">
        <f t="shared" si="1"/>
        <v>0</v>
      </c>
      <c r="U7" s="18">
        <f t="shared" si="1"/>
        <v>0</v>
      </c>
    </row>
    <row r="8" spans="1:21" x14ac:dyDescent="0.2">
      <c r="A8" s="25">
        <v>4</v>
      </c>
      <c r="B8" s="25">
        <f t="shared" si="2"/>
        <v>2016</v>
      </c>
      <c r="C8" s="26">
        <v>100</v>
      </c>
      <c r="D8" s="24">
        <v>0.05</v>
      </c>
      <c r="E8" s="110">
        <v>7.0917400000000005E-2</v>
      </c>
      <c r="F8" s="8"/>
      <c r="G8" s="16">
        <f t="shared" si="1"/>
        <v>5</v>
      </c>
      <c r="H8" s="17">
        <f t="shared" si="1"/>
        <v>5</v>
      </c>
      <c r="I8" s="17">
        <f t="shared" si="1"/>
        <v>5</v>
      </c>
      <c r="J8" s="17">
        <f t="shared" si="1"/>
        <v>105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0</v>
      </c>
      <c r="U8" s="18">
        <f t="shared" si="1"/>
        <v>0</v>
      </c>
    </row>
    <row r="9" spans="1:21" x14ac:dyDescent="0.2">
      <c r="A9" s="25">
        <v>5</v>
      </c>
      <c r="B9" s="25">
        <f t="shared" si="2"/>
        <v>2017</v>
      </c>
      <c r="C9" s="26">
        <v>100</v>
      </c>
      <c r="D9" s="24">
        <v>0.05</v>
      </c>
      <c r="E9" s="110">
        <v>6.8854079999999998E-2</v>
      </c>
      <c r="F9" s="8"/>
      <c r="G9" s="16">
        <f t="shared" si="1"/>
        <v>5</v>
      </c>
      <c r="H9" s="17">
        <f t="shared" si="1"/>
        <v>5</v>
      </c>
      <c r="I9" s="17">
        <f t="shared" si="1"/>
        <v>5</v>
      </c>
      <c r="J9" s="17">
        <f t="shared" si="1"/>
        <v>5</v>
      </c>
      <c r="K9" s="17">
        <f t="shared" si="1"/>
        <v>105</v>
      </c>
      <c r="L9" s="17">
        <f t="shared" si="1"/>
        <v>0</v>
      </c>
      <c r="M9" s="17">
        <f t="shared" si="1"/>
        <v>0</v>
      </c>
      <c r="N9" s="17">
        <f t="shared" si="1"/>
        <v>0</v>
      </c>
      <c r="O9" s="17">
        <f t="shared" si="1"/>
        <v>0</v>
      </c>
      <c r="P9" s="17">
        <f t="shared" si="1"/>
        <v>0</v>
      </c>
      <c r="Q9" s="17">
        <f t="shared" si="1"/>
        <v>0</v>
      </c>
      <c r="R9" s="17">
        <f t="shared" si="1"/>
        <v>0</v>
      </c>
      <c r="S9" s="17">
        <f t="shared" si="1"/>
        <v>0</v>
      </c>
      <c r="T9" s="17">
        <f t="shared" si="1"/>
        <v>0</v>
      </c>
      <c r="U9" s="18">
        <f t="shared" si="1"/>
        <v>0</v>
      </c>
    </row>
    <row r="10" spans="1:21" x14ac:dyDescent="0.2">
      <c r="A10" s="25">
        <v>6</v>
      </c>
      <c r="B10" s="25">
        <f t="shared" si="2"/>
        <v>2018</v>
      </c>
      <c r="C10" s="26">
        <v>100</v>
      </c>
      <c r="D10" s="24">
        <v>0.05</v>
      </c>
      <c r="E10" s="110">
        <v>6.7093949999999999E-2</v>
      </c>
      <c r="F10" s="8"/>
      <c r="G10" s="16">
        <f t="shared" si="1"/>
        <v>5</v>
      </c>
      <c r="H10" s="17">
        <f t="shared" si="1"/>
        <v>5</v>
      </c>
      <c r="I10" s="17">
        <f t="shared" si="1"/>
        <v>5</v>
      </c>
      <c r="J10" s="17">
        <f t="shared" si="1"/>
        <v>5</v>
      </c>
      <c r="K10" s="17">
        <f t="shared" si="1"/>
        <v>5</v>
      </c>
      <c r="L10" s="17">
        <f t="shared" si="1"/>
        <v>105</v>
      </c>
      <c r="M10" s="17">
        <f t="shared" si="1"/>
        <v>0</v>
      </c>
      <c r="N10" s="17">
        <f t="shared" si="1"/>
        <v>0</v>
      </c>
      <c r="O10" s="17">
        <f t="shared" si="1"/>
        <v>0</v>
      </c>
      <c r="P10" s="17">
        <f t="shared" si="1"/>
        <v>0</v>
      </c>
      <c r="Q10" s="17">
        <f t="shared" si="1"/>
        <v>0</v>
      </c>
      <c r="R10" s="17">
        <f t="shared" si="1"/>
        <v>0</v>
      </c>
      <c r="S10" s="17">
        <f t="shared" si="1"/>
        <v>0</v>
      </c>
      <c r="T10" s="17">
        <f t="shared" si="1"/>
        <v>0</v>
      </c>
      <c r="U10" s="18">
        <f t="shared" si="1"/>
        <v>0</v>
      </c>
    </row>
    <row r="11" spans="1:21" x14ac:dyDescent="0.2">
      <c r="A11" s="25">
        <v>7</v>
      </c>
      <c r="B11" s="25">
        <f t="shared" si="2"/>
        <v>2019</v>
      </c>
      <c r="C11" s="26">
        <v>100</v>
      </c>
      <c r="D11" s="24">
        <v>0.05</v>
      </c>
      <c r="E11" s="110">
        <v>6.559044E-2</v>
      </c>
      <c r="F11" s="8"/>
      <c r="G11" s="16">
        <f t="shared" si="1"/>
        <v>5</v>
      </c>
      <c r="H11" s="17">
        <f t="shared" si="1"/>
        <v>5</v>
      </c>
      <c r="I11" s="17">
        <f t="shared" si="1"/>
        <v>5</v>
      </c>
      <c r="J11" s="17">
        <f t="shared" si="1"/>
        <v>5</v>
      </c>
      <c r="K11" s="17">
        <f t="shared" si="1"/>
        <v>5</v>
      </c>
      <c r="L11" s="17">
        <f t="shared" si="1"/>
        <v>5</v>
      </c>
      <c r="M11" s="17">
        <f t="shared" si="1"/>
        <v>105</v>
      </c>
      <c r="N11" s="17">
        <f t="shared" si="1"/>
        <v>0</v>
      </c>
      <c r="O11" s="17">
        <f t="shared" si="1"/>
        <v>0</v>
      </c>
      <c r="P11" s="17">
        <f t="shared" si="1"/>
        <v>0</v>
      </c>
      <c r="Q11" s="17">
        <f t="shared" si="1"/>
        <v>0</v>
      </c>
      <c r="R11" s="17">
        <f t="shared" si="1"/>
        <v>0</v>
      </c>
      <c r="S11" s="17">
        <f t="shared" si="1"/>
        <v>0</v>
      </c>
      <c r="T11" s="17">
        <f t="shared" si="1"/>
        <v>0</v>
      </c>
      <c r="U11" s="18">
        <f t="shared" si="1"/>
        <v>0</v>
      </c>
    </row>
    <row r="12" spans="1:21" x14ac:dyDescent="0.2">
      <c r="A12" s="25">
        <v>8</v>
      </c>
      <c r="B12" s="25">
        <f t="shared" si="2"/>
        <v>2020</v>
      </c>
      <c r="C12" s="26">
        <v>100</v>
      </c>
      <c r="D12" s="24">
        <v>0.05</v>
      </c>
      <c r="E12" s="110">
        <v>6.4303059999999995E-2</v>
      </c>
      <c r="F12" s="8"/>
      <c r="G12" s="16">
        <f t="shared" si="1"/>
        <v>5</v>
      </c>
      <c r="H12" s="17">
        <f t="shared" si="1"/>
        <v>5</v>
      </c>
      <c r="I12" s="17">
        <f t="shared" si="1"/>
        <v>5</v>
      </c>
      <c r="J12" s="17">
        <f t="shared" si="1"/>
        <v>5</v>
      </c>
      <c r="K12" s="17">
        <f t="shared" si="1"/>
        <v>5</v>
      </c>
      <c r="L12" s="17">
        <f t="shared" si="1"/>
        <v>5</v>
      </c>
      <c r="M12" s="17">
        <f t="shared" si="1"/>
        <v>5</v>
      </c>
      <c r="N12" s="17">
        <f t="shared" si="1"/>
        <v>105</v>
      </c>
      <c r="O12" s="17">
        <f t="shared" si="1"/>
        <v>0</v>
      </c>
      <c r="P12" s="17">
        <f t="shared" si="1"/>
        <v>0</v>
      </c>
      <c r="Q12" s="17">
        <f t="shared" si="1"/>
        <v>0</v>
      </c>
      <c r="R12" s="17">
        <f t="shared" si="1"/>
        <v>0</v>
      </c>
      <c r="S12" s="17">
        <f t="shared" si="1"/>
        <v>0</v>
      </c>
      <c r="T12" s="17">
        <f t="shared" si="1"/>
        <v>0</v>
      </c>
      <c r="U12" s="18">
        <f t="shared" si="1"/>
        <v>0</v>
      </c>
    </row>
    <row r="13" spans="1:21" x14ac:dyDescent="0.2">
      <c r="A13" s="25">
        <v>9</v>
      </c>
      <c r="B13" s="25">
        <f t="shared" si="2"/>
        <v>2021</v>
      </c>
      <c r="C13" s="26">
        <v>100</v>
      </c>
      <c r="D13" s="24">
        <v>0.05</v>
      </c>
      <c r="E13" s="110">
        <v>6.3197229999999993E-2</v>
      </c>
      <c r="F13" s="8"/>
      <c r="G13" s="16">
        <f t="shared" si="1"/>
        <v>5</v>
      </c>
      <c r="H13" s="17">
        <f t="shared" si="1"/>
        <v>5</v>
      </c>
      <c r="I13" s="17">
        <f t="shared" si="1"/>
        <v>5</v>
      </c>
      <c r="J13" s="17">
        <f t="shared" si="1"/>
        <v>5</v>
      </c>
      <c r="K13" s="17">
        <f t="shared" si="1"/>
        <v>5</v>
      </c>
      <c r="L13" s="17">
        <f t="shared" si="1"/>
        <v>5</v>
      </c>
      <c r="M13" s="17">
        <f t="shared" si="1"/>
        <v>5</v>
      </c>
      <c r="N13" s="17">
        <f t="shared" si="1"/>
        <v>5</v>
      </c>
      <c r="O13" s="17">
        <f t="shared" si="1"/>
        <v>105</v>
      </c>
      <c r="P13" s="17">
        <f t="shared" si="1"/>
        <v>0</v>
      </c>
      <c r="Q13" s="17">
        <f t="shared" si="1"/>
        <v>0</v>
      </c>
      <c r="R13" s="17">
        <f t="shared" si="1"/>
        <v>0</v>
      </c>
      <c r="S13" s="17">
        <f t="shared" si="1"/>
        <v>0</v>
      </c>
      <c r="T13" s="17">
        <f t="shared" si="1"/>
        <v>0</v>
      </c>
      <c r="U13" s="18">
        <f t="shared" si="1"/>
        <v>0</v>
      </c>
    </row>
    <row r="14" spans="1:21" x14ac:dyDescent="0.2">
      <c r="A14" s="25">
        <v>10</v>
      </c>
      <c r="B14" s="25">
        <f t="shared" si="2"/>
        <v>2022</v>
      </c>
      <c r="C14" s="26">
        <v>100</v>
      </c>
      <c r="D14" s="24">
        <v>0.05</v>
      </c>
      <c r="E14" s="110">
        <v>6.224383E-2</v>
      </c>
      <c r="F14" s="8"/>
      <c r="G14" s="16">
        <f t="shared" si="1"/>
        <v>5</v>
      </c>
      <c r="H14" s="17">
        <f t="shared" si="1"/>
        <v>5</v>
      </c>
      <c r="I14" s="17">
        <f t="shared" si="1"/>
        <v>5</v>
      </c>
      <c r="J14" s="17">
        <f t="shared" si="1"/>
        <v>5</v>
      </c>
      <c r="K14" s="17">
        <f t="shared" si="1"/>
        <v>5</v>
      </c>
      <c r="L14" s="17">
        <f t="shared" si="1"/>
        <v>5</v>
      </c>
      <c r="M14" s="17">
        <f t="shared" si="1"/>
        <v>5</v>
      </c>
      <c r="N14" s="17">
        <f t="shared" si="1"/>
        <v>5</v>
      </c>
      <c r="O14" s="17">
        <f t="shared" si="1"/>
        <v>5</v>
      </c>
      <c r="P14" s="17">
        <f t="shared" si="1"/>
        <v>105</v>
      </c>
      <c r="Q14" s="17">
        <f t="shared" si="1"/>
        <v>0</v>
      </c>
      <c r="R14" s="17">
        <f t="shared" si="1"/>
        <v>0</v>
      </c>
      <c r="S14" s="17">
        <f t="shared" si="1"/>
        <v>0</v>
      </c>
      <c r="T14" s="17">
        <f t="shared" si="1"/>
        <v>0</v>
      </c>
      <c r="U14" s="18">
        <f t="shared" si="1"/>
        <v>0</v>
      </c>
    </row>
    <row r="15" spans="1:21" hidden="1" x14ac:dyDescent="0.2">
      <c r="A15" s="25">
        <v>11</v>
      </c>
      <c r="B15" s="25">
        <f t="shared" si="2"/>
        <v>2023</v>
      </c>
      <c r="C15" s="111">
        <v>100</v>
      </c>
      <c r="D15" s="112">
        <v>0.05</v>
      </c>
      <c r="E15" s="113">
        <f t="shared" ref="E15:E19" si="3">+E14+E14-E13</f>
        <v>6.1290430000000007E-2</v>
      </c>
      <c r="F15" s="114" t="s">
        <v>52</v>
      </c>
      <c r="G15" s="16">
        <f t="shared" si="1"/>
        <v>5</v>
      </c>
      <c r="H15" s="17">
        <f t="shared" si="1"/>
        <v>5</v>
      </c>
      <c r="I15" s="17">
        <f t="shared" si="1"/>
        <v>5</v>
      </c>
      <c r="J15" s="17">
        <f t="shared" si="1"/>
        <v>5</v>
      </c>
      <c r="K15" s="17">
        <f t="shared" si="1"/>
        <v>5</v>
      </c>
      <c r="L15" s="17">
        <f t="shared" si="1"/>
        <v>5</v>
      </c>
      <c r="M15" s="17">
        <f t="shared" si="1"/>
        <v>5</v>
      </c>
      <c r="N15" s="17">
        <f t="shared" si="1"/>
        <v>5</v>
      </c>
      <c r="O15" s="17">
        <f t="shared" si="1"/>
        <v>5</v>
      </c>
      <c r="P15" s="17">
        <f t="shared" si="1"/>
        <v>5</v>
      </c>
      <c r="Q15" s="17">
        <f t="shared" si="1"/>
        <v>105</v>
      </c>
      <c r="R15" s="17">
        <f t="shared" si="1"/>
        <v>0</v>
      </c>
      <c r="S15" s="17">
        <f t="shared" si="1"/>
        <v>0</v>
      </c>
      <c r="T15" s="17">
        <f t="shared" si="1"/>
        <v>0</v>
      </c>
      <c r="U15" s="18">
        <f t="shared" si="1"/>
        <v>0</v>
      </c>
    </row>
    <row r="16" spans="1:21" hidden="1" x14ac:dyDescent="0.2">
      <c r="A16" s="25">
        <v>12</v>
      </c>
      <c r="B16" s="25">
        <f t="shared" si="2"/>
        <v>2024</v>
      </c>
      <c r="C16" s="111">
        <v>100</v>
      </c>
      <c r="D16" s="112">
        <v>0.05</v>
      </c>
      <c r="E16" s="113">
        <f t="shared" si="3"/>
        <v>6.0337030000000014E-2</v>
      </c>
      <c r="F16" s="114" t="s">
        <v>52</v>
      </c>
      <c r="G16" s="16">
        <f t="shared" si="1"/>
        <v>5</v>
      </c>
      <c r="H16" s="17">
        <f t="shared" si="1"/>
        <v>5</v>
      </c>
      <c r="I16" s="17">
        <f t="shared" si="1"/>
        <v>5</v>
      </c>
      <c r="J16" s="17">
        <f t="shared" si="1"/>
        <v>5</v>
      </c>
      <c r="K16" s="17">
        <f t="shared" si="1"/>
        <v>5</v>
      </c>
      <c r="L16" s="17">
        <f t="shared" si="1"/>
        <v>5</v>
      </c>
      <c r="M16" s="17">
        <f t="shared" si="1"/>
        <v>5</v>
      </c>
      <c r="N16" s="17">
        <f t="shared" si="1"/>
        <v>5</v>
      </c>
      <c r="O16" s="17">
        <f t="shared" si="1"/>
        <v>5</v>
      </c>
      <c r="P16" s="17">
        <f t="shared" si="1"/>
        <v>5</v>
      </c>
      <c r="Q16" s="17">
        <f t="shared" si="1"/>
        <v>5</v>
      </c>
      <c r="R16" s="17">
        <f t="shared" si="1"/>
        <v>105</v>
      </c>
      <c r="S16" s="17">
        <f t="shared" si="1"/>
        <v>0</v>
      </c>
      <c r="T16" s="17">
        <f t="shared" si="1"/>
        <v>0</v>
      </c>
      <c r="U16" s="18">
        <f t="shared" si="1"/>
        <v>0</v>
      </c>
    </row>
    <row r="17" spans="1:21" hidden="1" x14ac:dyDescent="0.2">
      <c r="A17" s="25">
        <v>13</v>
      </c>
      <c r="B17" s="25">
        <f t="shared" si="2"/>
        <v>2025</v>
      </c>
      <c r="C17" s="111">
        <v>100</v>
      </c>
      <c r="D17" s="112">
        <v>0.05</v>
      </c>
      <c r="E17" s="113">
        <f t="shared" si="3"/>
        <v>5.9383630000000021E-2</v>
      </c>
      <c r="F17" s="114" t="s">
        <v>52</v>
      </c>
      <c r="G17" s="16">
        <f t="shared" ref="G17:U19" si="4">$C17*$D17*(G$3&lt;=$B17)+$C17*(G$3=$B17)</f>
        <v>5</v>
      </c>
      <c r="H17" s="17">
        <f t="shared" si="4"/>
        <v>5</v>
      </c>
      <c r="I17" s="17">
        <f t="shared" si="4"/>
        <v>5</v>
      </c>
      <c r="J17" s="17">
        <f t="shared" si="4"/>
        <v>5</v>
      </c>
      <c r="K17" s="17">
        <f t="shared" si="4"/>
        <v>5</v>
      </c>
      <c r="L17" s="17">
        <f t="shared" si="4"/>
        <v>5</v>
      </c>
      <c r="M17" s="17">
        <f t="shared" si="4"/>
        <v>5</v>
      </c>
      <c r="N17" s="17">
        <f t="shared" si="4"/>
        <v>5</v>
      </c>
      <c r="O17" s="17">
        <f t="shared" si="4"/>
        <v>5</v>
      </c>
      <c r="P17" s="17">
        <f t="shared" si="4"/>
        <v>5</v>
      </c>
      <c r="Q17" s="17">
        <f t="shared" si="4"/>
        <v>5</v>
      </c>
      <c r="R17" s="17">
        <f t="shared" si="4"/>
        <v>5</v>
      </c>
      <c r="S17" s="17">
        <f t="shared" si="4"/>
        <v>105</v>
      </c>
      <c r="T17" s="17">
        <f t="shared" si="4"/>
        <v>0</v>
      </c>
      <c r="U17" s="18">
        <f t="shared" si="4"/>
        <v>0</v>
      </c>
    </row>
    <row r="18" spans="1:21" hidden="1" x14ac:dyDescent="0.2">
      <c r="A18" s="25">
        <v>14</v>
      </c>
      <c r="B18" s="25">
        <f t="shared" si="2"/>
        <v>2026</v>
      </c>
      <c r="C18" s="111">
        <v>100</v>
      </c>
      <c r="D18" s="112">
        <v>0.05</v>
      </c>
      <c r="E18" s="113">
        <f t="shared" si="3"/>
        <v>5.8430230000000027E-2</v>
      </c>
      <c r="F18" s="114" t="s">
        <v>52</v>
      </c>
      <c r="G18" s="16">
        <f t="shared" si="4"/>
        <v>5</v>
      </c>
      <c r="H18" s="17">
        <f t="shared" si="4"/>
        <v>5</v>
      </c>
      <c r="I18" s="17">
        <f t="shared" si="4"/>
        <v>5</v>
      </c>
      <c r="J18" s="17">
        <f t="shared" si="4"/>
        <v>5</v>
      </c>
      <c r="K18" s="17">
        <f t="shared" si="4"/>
        <v>5</v>
      </c>
      <c r="L18" s="17">
        <f t="shared" si="4"/>
        <v>5</v>
      </c>
      <c r="M18" s="17">
        <f t="shared" si="4"/>
        <v>5</v>
      </c>
      <c r="N18" s="17">
        <f t="shared" si="4"/>
        <v>5</v>
      </c>
      <c r="O18" s="17">
        <f t="shared" si="4"/>
        <v>5</v>
      </c>
      <c r="P18" s="17">
        <f t="shared" si="4"/>
        <v>5</v>
      </c>
      <c r="Q18" s="17">
        <f t="shared" si="4"/>
        <v>5</v>
      </c>
      <c r="R18" s="17">
        <f t="shared" si="4"/>
        <v>5</v>
      </c>
      <c r="S18" s="17">
        <f t="shared" si="4"/>
        <v>5</v>
      </c>
      <c r="T18" s="17">
        <f t="shared" si="4"/>
        <v>105</v>
      </c>
      <c r="U18" s="18">
        <f t="shared" si="4"/>
        <v>0</v>
      </c>
    </row>
    <row r="19" spans="1:21" hidden="1" x14ac:dyDescent="0.2">
      <c r="A19" s="25">
        <v>15</v>
      </c>
      <c r="B19" s="25">
        <f t="shared" si="2"/>
        <v>2027</v>
      </c>
      <c r="C19" s="111">
        <v>100</v>
      </c>
      <c r="D19" s="112">
        <v>0.05</v>
      </c>
      <c r="E19" s="113">
        <f t="shared" si="3"/>
        <v>5.7476830000000034E-2</v>
      </c>
      <c r="F19" s="114" t="s">
        <v>52</v>
      </c>
      <c r="G19" s="19">
        <f t="shared" si="4"/>
        <v>5</v>
      </c>
      <c r="H19" s="20">
        <f t="shared" si="4"/>
        <v>5</v>
      </c>
      <c r="I19" s="20">
        <f t="shared" si="4"/>
        <v>5</v>
      </c>
      <c r="J19" s="20">
        <f t="shared" si="4"/>
        <v>5</v>
      </c>
      <c r="K19" s="20">
        <f t="shared" si="4"/>
        <v>5</v>
      </c>
      <c r="L19" s="20">
        <f t="shared" si="4"/>
        <v>5</v>
      </c>
      <c r="M19" s="20">
        <f t="shared" si="4"/>
        <v>5</v>
      </c>
      <c r="N19" s="20">
        <f t="shared" si="4"/>
        <v>5</v>
      </c>
      <c r="O19" s="20">
        <f t="shared" si="4"/>
        <v>5</v>
      </c>
      <c r="P19" s="20">
        <f t="shared" si="4"/>
        <v>5</v>
      </c>
      <c r="Q19" s="20">
        <f t="shared" si="4"/>
        <v>5</v>
      </c>
      <c r="R19" s="20">
        <f t="shared" si="4"/>
        <v>5</v>
      </c>
      <c r="S19" s="20">
        <f t="shared" si="4"/>
        <v>5</v>
      </c>
      <c r="T19" s="20">
        <f t="shared" si="4"/>
        <v>5</v>
      </c>
      <c r="U19" s="21">
        <f t="shared" si="4"/>
        <v>105</v>
      </c>
    </row>
    <row r="21" spans="1:21" x14ac:dyDescent="0.2">
      <c r="A21" s="6" t="s">
        <v>5</v>
      </c>
      <c r="H21" s="6" t="s">
        <v>12</v>
      </c>
      <c r="M21" s="6"/>
    </row>
    <row r="23" spans="1:21" ht="22.5" x14ac:dyDescent="0.2">
      <c r="A23" s="9" t="s">
        <v>0</v>
      </c>
      <c r="B23" s="9" t="s">
        <v>1</v>
      </c>
      <c r="C23" s="9" t="s">
        <v>3</v>
      </c>
      <c r="D23" s="9" t="s">
        <v>2</v>
      </c>
      <c r="E23" s="107" t="s">
        <v>47</v>
      </c>
      <c r="F23" s="107" t="s">
        <v>48</v>
      </c>
      <c r="H23" s="9" t="s">
        <v>6</v>
      </c>
      <c r="I23" s="9" t="s">
        <v>49</v>
      </c>
      <c r="J23" s="9" t="s">
        <v>11</v>
      </c>
      <c r="L23" s="9" t="s">
        <v>51</v>
      </c>
      <c r="N23" s="9" t="s">
        <v>51</v>
      </c>
    </row>
    <row r="24" spans="1:21" x14ac:dyDescent="0.2">
      <c r="A24" s="2">
        <f t="shared" ref="A24:E38" si="5">A5</f>
        <v>1</v>
      </c>
      <c r="B24" s="2">
        <f t="shared" si="5"/>
        <v>2013</v>
      </c>
      <c r="C24" s="1">
        <f t="shared" si="5"/>
        <v>100</v>
      </c>
      <c r="D24" s="3">
        <f t="shared" si="5"/>
        <v>0.05</v>
      </c>
      <c r="E24" s="4">
        <f t="shared" si="5"/>
        <v>7.9456070000000004E-2</v>
      </c>
      <c r="F24" s="22">
        <f t="shared" ref="F24:F38" si="6">NPV(E5,G5:U5)</f>
        <v>97.271211787247623</v>
      </c>
      <c r="H24" s="2">
        <v>1</v>
      </c>
      <c r="I24" s="22">
        <f t="array" ref="I24:I38">MMULT(MINVERSE(Matrix_C),Matrix_B)</f>
        <v>0.92639249321188222</v>
      </c>
      <c r="J24" s="7">
        <f t="shared" ref="J24:J38" si="7">-LN(I24)/H24</f>
        <v>7.6457275378575065E-2</v>
      </c>
      <c r="L24" s="7">
        <f>J24</f>
        <v>7.6457275378575065E-2</v>
      </c>
      <c r="N24" s="7">
        <f>-LN(I24/1)</f>
        <v>7.6457275378575065E-2</v>
      </c>
      <c r="T24" s="10"/>
      <c r="U24" s="11"/>
    </row>
    <row r="25" spans="1:21" x14ac:dyDescent="0.2">
      <c r="A25" s="2">
        <f t="shared" si="5"/>
        <v>2</v>
      </c>
      <c r="B25" s="2">
        <f t="shared" si="5"/>
        <v>2014</v>
      </c>
      <c r="C25" s="1">
        <f t="shared" si="5"/>
        <v>100</v>
      </c>
      <c r="D25" s="3">
        <f t="shared" si="5"/>
        <v>0.05</v>
      </c>
      <c r="E25" s="4">
        <f t="shared" si="5"/>
        <v>7.6164239999999994E-2</v>
      </c>
      <c r="F25" s="22">
        <f t="shared" si="6"/>
        <v>95.309569370811175</v>
      </c>
      <c r="H25" s="2">
        <f t="shared" ref="H25:H38" si="8">+H24+1</f>
        <v>2</v>
      </c>
      <c r="I25" s="22">
        <v>0.86359625623573122</v>
      </c>
      <c r="J25" s="7">
        <f t="shared" si="7"/>
        <v>7.3324957709176575E-2</v>
      </c>
      <c r="L25" s="7">
        <f t="shared" ref="L25:L38" si="9">J24+H25*(J25-J24)</f>
        <v>7.0192640039778084E-2</v>
      </c>
      <c r="N25" s="7">
        <f t="shared" ref="N25:N38" si="10">-LN(I25/I24)</f>
        <v>7.0192640039778084E-2</v>
      </c>
      <c r="T25" s="10"/>
      <c r="U25" s="11"/>
    </row>
    <row r="26" spans="1:21" x14ac:dyDescent="0.2">
      <c r="A26" s="2">
        <f t="shared" si="5"/>
        <v>3</v>
      </c>
      <c r="B26" s="2">
        <f t="shared" si="5"/>
        <v>2015</v>
      </c>
      <c r="C26" s="1">
        <f t="shared" si="5"/>
        <v>100</v>
      </c>
      <c r="D26" s="3">
        <f t="shared" si="5"/>
        <v>0.05</v>
      </c>
      <c r="E26" s="4">
        <f t="shared" si="5"/>
        <v>7.3335789999999998E-2</v>
      </c>
      <c r="F26" s="22">
        <f t="shared" si="6"/>
        <v>93.913084046106604</v>
      </c>
      <c r="H26" s="2">
        <f t="shared" si="8"/>
        <v>3</v>
      </c>
      <c r="I26" s="22">
        <v>0.80917276475112909</v>
      </c>
      <c r="J26" s="7">
        <f t="shared" si="7"/>
        <v>7.0580943753493816E-2</v>
      </c>
      <c r="L26" s="7">
        <f t="shared" si="9"/>
        <v>6.5092915842128299E-2</v>
      </c>
      <c r="N26" s="7">
        <f t="shared" si="10"/>
        <v>6.5092915842128368E-2</v>
      </c>
      <c r="T26" s="10"/>
      <c r="U26" s="11"/>
    </row>
    <row r="27" spans="1:21" x14ac:dyDescent="0.2">
      <c r="A27" s="2">
        <f t="shared" si="5"/>
        <v>4</v>
      </c>
      <c r="B27" s="2">
        <f t="shared" si="5"/>
        <v>2016</v>
      </c>
      <c r="C27" s="1">
        <f t="shared" si="5"/>
        <v>100</v>
      </c>
      <c r="D27" s="3">
        <f t="shared" si="5"/>
        <v>0.05</v>
      </c>
      <c r="E27" s="4">
        <f t="shared" si="5"/>
        <v>7.0917400000000005E-2</v>
      </c>
      <c r="F27" s="22">
        <f t="shared" si="6"/>
        <v>92.929483696493961</v>
      </c>
      <c r="H27" s="2">
        <f t="shared" si="8"/>
        <v>4</v>
      </c>
      <c r="I27" s="22">
        <v>0.76127310595714537</v>
      </c>
      <c r="J27" s="7">
        <f t="shared" si="7"/>
        <v>6.819077694139955E-2</v>
      </c>
      <c r="L27" s="7">
        <f t="shared" si="9"/>
        <v>6.1020276505116752E-2</v>
      </c>
      <c r="N27" s="7">
        <f t="shared" si="10"/>
        <v>6.1020276505116711E-2</v>
      </c>
      <c r="T27" s="10"/>
      <c r="U27" s="11"/>
    </row>
    <row r="28" spans="1:21" x14ac:dyDescent="0.2">
      <c r="A28" s="2">
        <f t="shared" si="5"/>
        <v>5</v>
      </c>
      <c r="B28" s="2">
        <f t="shared" si="5"/>
        <v>2017</v>
      </c>
      <c r="C28" s="1">
        <f t="shared" si="5"/>
        <v>100</v>
      </c>
      <c r="D28" s="3">
        <f t="shared" si="5"/>
        <v>0.05</v>
      </c>
      <c r="E28" s="4">
        <f t="shared" si="5"/>
        <v>6.8854079999999998E-2</v>
      </c>
      <c r="F28" s="22">
        <f t="shared" si="6"/>
        <v>92.245677852673595</v>
      </c>
      <c r="H28" s="2">
        <f t="shared" si="8"/>
        <v>5</v>
      </c>
      <c r="I28" s="22">
        <v>0.71850956906565877</v>
      </c>
      <c r="J28" s="7">
        <f t="shared" si="7"/>
        <v>6.6115251087339844E-2</v>
      </c>
      <c r="L28" s="7">
        <f t="shared" si="9"/>
        <v>5.7813147671101017E-2</v>
      </c>
      <c r="N28" s="7">
        <f t="shared" si="10"/>
        <v>5.781314767110099E-2</v>
      </c>
      <c r="T28" s="10"/>
      <c r="U28" s="11"/>
    </row>
    <row r="29" spans="1:21" x14ac:dyDescent="0.2">
      <c r="A29" s="2">
        <f t="shared" si="5"/>
        <v>6</v>
      </c>
      <c r="B29" s="2">
        <f t="shared" si="5"/>
        <v>2018</v>
      </c>
      <c r="C29" s="1">
        <f t="shared" si="5"/>
        <v>100</v>
      </c>
      <c r="D29" s="3">
        <f t="shared" si="5"/>
        <v>0.05</v>
      </c>
      <c r="E29" s="4">
        <f t="shared" si="5"/>
        <v>6.7093949999999999E-2</v>
      </c>
      <c r="F29" s="22">
        <f t="shared" si="6"/>
        <v>91.778486347163067</v>
      </c>
      <c r="H29" s="2">
        <f t="shared" si="8"/>
        <v>6</v>
      </c>
      <c r="I29" s="22">
        <v>0.67984538477195566</v>
      </c>
      <c r="J29" s="7">
        <f t="shared" si="7"/>
        <v>6.4314980333505772E-2</v>
      </c>
      <c r="L29" s="7">
        <f t="shared" si="9"/>
        <v>5.5313626564335416E-2</v>
      </c>
      <c r="N29" s="7">
        <f t="shared" si="10"/>
        <v>5.5313626564335389E-2</v>
      </c>
      <c r="T29" s="10"/>
      <c r="U29" s="11"/>
    </row>
    <row r="30" spans="1:21" x14ac:dyDescent="0.2">
      <c r="A30" s="2">
        <f t="shared" si="5"/>
        <v>7</v>
      </c>
      <c r="B30" s="2">
        <f t="shared" si="5"/>
        <v>2019</v>
      </c>
      <c r="C30" s="1">
        <f t="shared" si="5"/>
        <v>100</v>
      </c>
      <c r="D30" s="3">
        <f t="shared" si="5"/>
        <v>0.05</v>
      </c>
      <c r="E30" s="4">
        <f t="shared" si="5"/>
        <v>6.559044E-2</v>
      </c>
      <c r="F30" s="22">
        <f t="shared" si="6"/>
        <v>91.467135555045843</v>
      </c>
      <c r="H30" s="2">
        <f t="shared" si="8"/>
        <v>7</v>
      </c>
      <c r="I30" s="22">
        <v>0.64450654938169849</v>
      </c>
      <c r="J30" s="7">
        <f t="shared" si="7"/>
        <v>6.2752899242412577E-2</v>
      </c>
      <c r="L30" s="7">
        <f t="shared" si="9"/>
        <v>5.3380412695853405E-2</v>
      </c>
      <c r="N30" s="7">
        <f t="shared" si="10"/>
        <v>5.3380412695853488E-2</v>
      </c>
      <c r="T30" s="10"/>
      <c r="U30" s="11"/>
    </row>
    <row r="31" spans="1:21" x14ac:dyDescent="0.2">
      <c r="A31" s="2">
        <f t="shared" si="5"/>
        <v>8</v>
      </c>
      <c r="B31" s="2">
        <f t="shared" si="5"/>
        <v>2020</v>
      </c>
      <c r="C31" s="1">
        <f t="shared" si="5"/>
        <v>100</v>
      </c>
      <c r="D31" s="3">
        <f t="shared" si="5"/>
        <v>0.05</v>
      </c>
      <c r="E31" s="4">
        <f t="shared" si="5"/>
        <v>6.4303059999999995E-2</v>
      </c>
      <c r="F31" s="22">
        <f t="shared" si="6"/>
        <v>91.267403410407695</v>
      </c>
      <c r="H31" s="2">
        <f t="shared" si="8"/>
        <v>8</v>
      </c>
      <c r="I31" s="22">
        <v>0.61191355041458761</v>
      </c>
      <c r="J31" s="7">
        <f t="shared" si="7"/>
        <v>6.1395532992511763E-2</v>
      </c>
      <c r="L31" s="7">
        <f t="shared" si="9"/>
        <v>5.1893969243206065E-2</v>
      </c>
      <c r="N31" s="7">
        <f t="shared" si="10"/>
        <v>5.1893969243206051E-2</v>
      </c>
      <c r="T31" s="10"/>
      <c r="U31" s="11"/>
    </row>
    <row r="32" spans="1:21" x14ac:dyDescent="0.2">
      <c r="A32" s="2">
        <f t="shared" si="5"/>
        <v>9</v>
      </c>
      <c r="B32" s="2">
        <f t="shared" si="5"/>
        <v>2021</v>
      </c>
      <c r="C32" s="1">
        <f t="shared" si="5"/>
        <v>100</v>
      </c>
      <c r="D32" s="3">
        <f t="shared" si="5"/>
        <v>0.05</v>
      </c>
      <c r="E32" s="4">
        <f t="shared" si="5"/>
        <v>6.3197229999999993E-2</v>
      </c>
      <c r="F32" s="22">
        <f t="shared" si="6"/>
        <v>91.147241759261064</v>
      </c>
      <c r="H32" s="2">
        <f t="shared" si="8"/>
        <v>9</v>
      </c>
      <c r="I32" s="22">
        <v>0.5816304132410679</v>
      </c>
      <c r="J32" s="7">
        <f t="shared" si="7"/>
        <v>6.0213340195811371E-2</v>
      </c>
      <c r="L32" s="7">
        <f t="shared" si="9"/>
        <v>5.0755797822208237E-2</v>
      </c>
      <c r="N32" s="7">
        <f t="shared" si="10"/>
        <v>5.0755797822208244E-2</v>
      </c>
      <c r="T32" s="10"/>
      <c r="U32" s="11"/>
    </row>
    <row r="33" spans="1:21" x14ac:dyDescent="0.2">
      <c r="A33" s="2">
        <f t="shared" si="5"/>
        <v>10</v>
      </c>
      <c r="B33" s="2">
        <f t="shared" si="5"/>
        <v>2022</v>
      </c>
      <c r="C33" s="1">
        <f t="shared" si="5"/>
        <v>100</v>
      </c>
      <c r="D33" s="3">
        <f t="shared" si="5"/>
        <v>0.05</v>
      </c>
      <c r="E33" s="4">
        <f t="shared" si="5"/>
        <v>6.224383E-2</v>
      </c>
      <c r="F33" s="22">
        <f t="shared" si="6"/>
        <v>91.083464481271321</v>
      </c>
      <c r="H33" s="2">
        <f t="shared" si="8"/>
        <v>10</v>
      </c>
      <c r="I33" s="22">
        <v>0.55332632424873385</v>
      </c>
      <c r="J33" s="7">
        <f t="shared" si="7"/>
        <v>5.9180735340024569E-2</v>
      </c>
      <c r="L33" s="7">
        <f t="shared" si="9"/>
        <v>4.9887291637943351E-2</v>
      </c>
      <c r="N33" s="7">
        <f t="shared" si="10"/>
        <v>4.9887291637943386E-2</v>
      </c>
      <c r="T33" s="10"/>
      <c r="U33" s="11"/>
    </row>
    <row r="34" spans="1:21" hidden="1" x14ac:dyDescent="0.2">
      <c r="A34" s="2">
        <f t="shared" si="5"/>
        <v>11</v>
      </c>
      <c r="B34" s="2">
        <f t="shared" si="5"/>
        <v>2023</v>
      </c>
      <c r="C34" s="1">
        <f t="shared" si="5"/>
        <v>100</v>
      </c>
      <c r="D34" s="3">
        <f t="shared" si="5"/>
        <v>0.05</v>
      </c>
      <c r="E34" s="4">
        <f t="shared" si="5"/>
        <v>6.1290430000000007E-2</v>
      </c>
      <c r="F34" s="22">
        <f t="shared" si="6"/>
        <v>91.153855160862122</v>
      </c>
      <c r="H34" s="2">
        <f t="shared" si="8"/>
        <v>11</v>
      </c>
      <c r="I34" s="22">
        <v>0.52764783909013513</v>
      </c>
      <c r="J34" s="7">
        <f t="shared" si="7"/>
        <v>5.8120562656405667E-2</v>
      </c>
      <c r="L34" s="7">
        <f t="shared" si="9"/>
        <v>4.751883582021664E-2</v>
      </c>
      <c r="N34" s="7">
        <f t="shared" si="10"/>
        <v>4.7518835820216633E-2</v>
      </c>
      <c r="T34" s="10"/>
      <c r="U34" s="11"/>
    </row>
    <row r="35" spans="1:21" hidden="1" x14ac:dyDescent="0.2">
      <c r="A35" s="2">
        <f t="shared" si="5"/>
        <v>12</v>
      </c>
      <c r="B35" s="2">
        <f t="shared" si="5"/>
        <v>2024</v>
      </c>
      <c r="C35" s="1">
        <f t="shared" si="5"/>
        <v>100</v>
      </c>
      <c r="D35" s="3">
        <f t="shared" si="5"/>
        <v>0.05</v>
      </c>
      <c r="E35" s="4">
        <f t="shared" si="5"/>
        <v>6.0337030000000014E-2</v>
      </c>
      <c r="F35" s="22">
        <f t="shared" si="6"/>
        <v>91.349585934506479</v>
      </c>
      <c r="H35" s="2">
        <f t="shared" si="8"/>
        <v>12</v>
      </c>
      <c r="I35" s="22">
        <v>0.50438585412055104</v>
      </c>
      <c r="J35" s="7">
        <f t="shared" si="7"/>
        <v>5.703447668732179E-2</v>
      </c>
      <c r="L35" s="7">
        <f t="shared" si="9"/>
        <v>4.5087531027399153E-2</v>
      </c>
      <c r="N35" s="7">
        <f t="shared" si="10"/>
        <v>4.5087531027399146E-2</v>
      </c>
      <c r="T35" s="10"/>
      <c r="U35" s="11"/>
    </row>
    <row r="36" spans="1:21" hidden="1" x14ac:dyDescent="0.2">
      <c r="A36" s="2">
        <f t="shared" si="5"/>
        <v>13</v>
      </c>
      <c r="B36" s="2">
        <f t="shared" si="5"/>
        <v>2025</v>
      </c>
      <c r="C36" s="1">
        <f t="shared" si="5"/>
        <v>100</v>
      </c>
      <c r="D36" s="3">
        <f t="shared" si="5"/>
        <v>0.05</v>
      </c>
      <c r="E36" s="4">
        <f t="shared" si="5"/>
        <v>5.9383630000000021E-2</v>
      </c>
      <c r="F36" s="22">
        <f t="shared" si="6"/>
        <v>91.662978415608805</v>
      </c>
      <c r="H36" s="2">
        <f t="shared" si="8"/>
        <v>13</v>
      </c>
      <c r="I36" s="22">
        <v>0.48335217041102313</v>
      </c>
      <c r="J36" s="7">
        <f t="shared" si="7"/>
        <v>5.5923827671606058E-2</v>
      </c>
      <c r="L36" s="7">
        <f t="shared" si="9"/>
        <v>4.2596039483017267E-2</v>
      </c>
      <c r="N36" s="7">
        <f t="shared" si="10"/>
        <v>4.259603948301733E-2</v>
      </c>
      <c r="T36" s="10"/>
      <c r="U36" s="11"/>
    </row>
    <row r="37" spans="1:21" hidden="1" x14ac:dyDescent="0.2">
      <c r="A37" s="2">
        <f t="shared" si="5"/>
        <v>14</v>
      </c>
      <c r="B37" s="2">
        <f t="shared" si="5"/>
        <v>2026</v>
      </c>
      <c r="C37" s="1">
        <f t="shared" si="5"/>
        <v>100</v>
      </c>
      <c r="D37" s="3">
        <f t="shared" si="5"/>
        <v>0.05</v>
      </c>
      <c r="E37" s="4">
        <f t="shared" si="5"/>
        <v>5.8430230000000027E-2</v>
      </c>
      <c r="F37" s="22">
        <f t="shared" si="6"/>
        <v>92.087384775218936</v>
      </c>
      <c r="H37" s="2">
        <f t="shared" si="8"/>
        <v>14</v>
      </c>
      <c r="I37" s="22">
        <v>0.46437736572107091</v>
      </c>
      <c r="J37" s="7">
        <f t="shared" si="7"/>
        <v>5.4789840650254031E-2</v>
      </c>
      <c r="L37" s="7">
        <f t="shared" si="9"/>
        <v>4.0048009372677676E-2</v>
      </c>
      <c r="N37" s="7">
        <f t="shared" si="10"/>
        <v>4.0048009372677607E-2</v>
      </c>
      <c r="T37" s="10"/>
      <c r="U37" s="11"/>
    </row>
    <row r="38" spans="1:21" hidden="1" x14ac:dyDescent="0.2">
      <c r="A38" s="2">
        <f t="shared" si="5"/>
        <v>15</v>
      </c>
      <c r="B38" s="2">
        <f t="shared" si="5"/>
        <v>2027</v>
      </c>
      <c r="C38" s="1">
        <f t="shared" si="5"/>
        <v>100</v>
      </c>
      <c r="D38" s="3">
        <f t="shared" si="5"/>
        <v>0.05</v>
      </c>
      <c r="E38" s="4">
        <f t="shared" si="5"/>
        <v>5.7476830000000034E-2</v>
      </c>
      <c r="F38" s="23">
        <f t="shared" si="6"/>
        <v>92.617084142209094</v>
      </c>
      <c r="H38" s="2">
        <f t="shared" si="8"/>
        <v>15</v>
      </c>
      <c r="I38" s="23">
        <v>0.44730891370568815</v>
      </c>
      <c r="J38" s="7">
        <f t="shared" si="7"/>
        <v>5.3633722729347869E-2</v>
      </c>
      <c r="L38" s="7">
        <f t="shared" si="9"/>
        <v>3.7448071836661601E-2</v>
      </c>
      <c r="N38" s="7">
        <f t="shared" si="10"/>
        <v>3.7448071836661684E-2</v>
      </c>
      <c r="T38" s="10"/>
      <c r="U38" s="11"/>
    </row>
  </sheetData>
  <pageMargins left="0.70866141732283472" right="0.70866141732283472" top="0.78740157480314965" bottom="0.78740157480314965" header="0.31496062992125984" footer="0.31496062992125984"/>
  <pageSetup paperSize="9" scale="7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zoomScale="115" zoomScaleNormal="115" workbookViewId="0">
      <selection activeCell="A16" sqref="A16:XFD20"/>
    </sheetView>
  </sheetViews>
  <sheetFormatPr defaultColWidth="10.1640625" defaultRowHeight="11.25" x14ac:dyDescent="0.2"/>
  <cols>
    <col min="1" max="2" width="10.1640625" style="30" customWidth="1"/>
    <col min="3" max="3" width="4.83203125" style="30" customWidth="1"/>
    <col min="4" max="4" width="10.1640625" style="30" customWidth="1"/>
    <col min="5" max="5" width="11.6640625" style="30" bestFit="1" customWidth="1"/>
    <col min="6" max="6" width="10.1640625" style="30" customWidth="1"/>
    <col min="7" max="7" width="10.1640625" style="30" bestFit="1" customWidth="1"/>
    <col min="8" max="8" width="10.1640625" style="30" customWidth="1"/>
    <col min="9" max="9" width="12.1640625" style="30" bestFit="1" customWidth="1"/>
    <col min="10" max="10" width="8.5" style="30" customWidth="1"/>
    <col min="11" max="11" width="11.1640625" style="30" customWidth="1"/>
    <col min="12" max="12" width="10.1640625" style="30" bestFit="1" customWidth="1"/>
    <col min="13" max="13" width="10.83203125" style="30" bestFit="1" customWidth="1"/>
    <col min="14" max="16384" width="10.1640625" style="30"/>
  </cols>
  <sheetData>
    <row r="1" spans="1:13" x14ac:dyDescent="0.2">
      <c r="A1" s="51" t="s">
        <v>50</v>
      </c>
      <c r="K1" s="30" t="s">
        <v>19</v>
      </c>
    </row>
    <row r="2" spans="1:13" x14ac:dyDescent="0.2">
      <c r="K2" s="50">
        <v>0.01</v>
      </c>
    </row>
    <row r="3" spans="1:13" x14ac:dyDescent="0.2">
      <c r="K3" s="49"/>
    </row>
    <row r="4" spans="1:13" x14ac:dyDescent="0.2">
      <c r="A4" s="48" t="s">
        <v>36</v>
      </c>
      <c r="B4" s="34"/>
      <c r="E4" s="30" t="s">
        <v>13</v>
      </c>
      <c r="K4" s="30" t="s">
        <v>35</v>
      </c>
    </row>
    <row r="5" spans="1:13" x14ac:dyDescent="0.2">
      <c r="A5" s="41" t="s">
        <v>34</v>
      </c>
      <c r="B5" s="35" t="s">
        <v>33</v>
      </c>
      <c r="D5" s="47" t="s">
        <v>32</v>
      </c>
      <c r="E5" s="47" t="s">
        <v>29</v>
      </c>
      <c r="F5" s="47" t="s">
        <v>10</v>
      </c>
      <c r="G5" s="47" t="s">
        <v>7</v>
      </c>
      <c r="H5" s="47" t="s">
        <v>31</v>
      </c>
      <c r="I5" s="47" t="s">
        <v>30</v>
      </c>
      <c r="K5" s="47" t="s">
        <v>29</v>
      </c>
      <c r="L5" s="47" t="s">
        <v>10</v>
      </c>
      <c r="M5" s="47" t="s">
        <v>7</v>
      </c>
    </row>
    <row r="6" spans="1:13" x14ac:dyDescent="0.2">
      <c r="A6" s="46">
        <v>2013</v>
      </c>
      <c r="B6" s="108">
        <v>1000000</v>
      </c>
      <c r="D6" s="30">
        <v>1</v>
      </c>
      <c r="E6" s="43">
        <f>VLOOKUP(D6,'Yield curve estimation'!$H$24:$J$38,3,0)</f>
        <v>7.6457275378575065E-2</v>
      </c>
      <c r="F6" s="30">
        <f t="shared" ref="F6:F20" si="0">EXP(-E6*$D6)</f>
        <v>0.92639249321188222</v>
      </c>
      <c r="G6" s="38">
        <f t="shared" ref="G6:G20" si="1">$B6*F6</f>
        <v>926392.49321188219</v>
      </c>
      <c r="H6" s="38">
        <f t="shared" ref="H6:H20" si="2">D6*G6</f>
        <v>926392.49321188219</v>
      </c>
      <c r="I6" s="38">
        <f t="shared" ref="I6:I20" si="3">D6*H6</f>
        <v>926392.49321188219</v>
      </c>
      <c r="K6" s="42">
        <f t="shared" ref="K6:K20" si="4">+$E6+K$2</f>
        <v>8.645727537857506E-2</v>
      </c>
      <c r="L6" s="30">
        <f t="shared" ref="L6:L20" si="5">EXP(-K6*$D6)</f>
        <v>0.91717473389090132</v>
      </c>
      <c r="M6" s="38">
        <f t="shared" ref="M6:M20" si="6">$B6*L6</f>
        <v>917174.73389090132</v>
      </c>
    </row>
    <row r="7" spans="1:13" x14ac:dyDescent="0.2">
      <c r="A7" s="45">
        <f t="shared" ref="A7:A20" si="7">+A6+1</f>
        <v>2014</v>
      </c>
      <c r="B7" s="108">
        <v>1000000</v>
      </c>
      <c r="D7" s="30">
        <f t="shared" ref="D7:D20" si="8">+D6+1</f>
        <v>2</v>
      </c>
      <c r="E7" s="43">
        <f>VLOOKUP(D7,'Yield curve estimation'!$H$24:$J$38,3,0)</f>
        <v>7.3324957709176575E-2</v>
      </c>
      <c r="F7" s="30">
        <f t="shared" si="0"/>
        <v>0.86359625623573122</v>
      </c>
      <c r="G7" s="38">
        <f t="shared" si="1"/>
        <v>863596.25623573118</v>
      </c>
      <c r="H7" s="38">
        <f t="shared" si="2"/>
        <v>1727192.5124714624</v>
      </c>
      <c r="I7" s="38">
        <f t="shared" si="3"/>
        <v>3454385.0249429247</v>
      </c>
      <c r="K7" s="42">
        <f t="shared" si="4"/>
        <v>8.332495770917657E-2</v>
      </c>
      <c r="L7" s="30">
        <f t="shared" si="5"/>
        <v>0.84649590463494451</v>
      </c>
      <c r="M7" s="38">
        <f t="shared" si="6"/>
        <v>846495.90463494451</v>
      </c>
    </row>
    <row r="8" spans="1:13" x14ac:dyDescent="0.2">
      <c r="A8" s="45">
        <f t="shared" si="7"/>
        <v>2015</v>
      </c>
      <c r="B8" s="108">
        <v>1000000</v>
      </c>
      <c r="D8" s="30">
        <f t="shared" si="8"/>
        <v>3</v>
      </c>
      <c r="E8" s="43">
        <f>VLOOKUP(D8,'Yield curve estimation'!$H$24:$J$38,3,0)</f>
        <v>7.0580943753493816E-2</v>
      </c>
      <c r="F8" s="30">
        <f t="shared" si="0"/>
        <v>0.80917276475112909</v>
      </c>
      <c r="G8" s="38">
        <f t="shared" si="1"/>
        <v>809172.76475112909</v>
      </c>
      <c r="H8" s="38">
        <f t="shared" si="2"/>
        <v>2427518.2942533875</v>
      </c>
      <c r="I8" s="38">
        <f t="shared" si="3"/>
        <v>7282554.8827601625</v>
      </c>
      <c r="K8" s="42">
        <f t="shared" si="4"/>
        <v>8.0580943753493811E-2</v>
      </c>
      <c r="L8" s="30">
        <f t="shared" si="5"/>
        <v>0.785258095421831</v>
      </c>
      <c r="M8" s="38">
        <f t="shared" si="6"/>
        <v>785258.09542183101</v>
      </c>
    </row>
    <row r="9" spans="1:13" x14ac:dyDescent="0.2">
      <c r="A9" s="45">
        <f t="shared" si="7"/>
        <v>2016</v>
      </c>
      <c r="B9" s="108">
        <v>1000000</v>
      </c>
      <c r="D9" s="30">
        <f t="shared" si="8"/>
        <v>4</v>
      </c>
      <c r="E9" s="43">
        <f>VLOOKUP(D9,'Yield curve estimation'!$H$24:$J$38,3,0)</f>
        <v>6.819077694139955E-2</v>
      </c>
      <c r="F9" s="30">
        <f t="shared" si="0"/>
        <v>0.76127310595714537</v>
      </c>
      <c r="G9" s="38">
        <f t="shared" si="1"/>
        <v>761273.10595714534</v>
      </c>
      <c r="H9" s="38">
        <f t="shared" si="2"/>
        <v>3045092.4238285813</v>
      </c>
      <c r="I9" s="38">
        <f t="shared" si="3"/>
        <v>12180369.695314325</v>
      </c>
      <c r="K9" s="42">
        <f t="shared" si="4"/>
        <v>7.8190776941399545E-2</v>
      </c>
      <c r="L9" s="30">
        <f t="shared" si="5"/>
        <v>0.73142316051431289</v>
      </c>
      <c r="M9" s="38">
        <f t="shared" si="6"/>
        <v>731423.16051431291</v>
      </c>
    </row>
    <row r="10" spans="1:13" x14ac:dyDescent="0.2">
      <c r="A10" s="45">
        <f t="shared" si="7"/>
        <v>2017</v>
      </c>
      <c r="B10" s="108">
        <v>1000000</v>
      </c>
      <c r="D10" s="30">
        <f t="shared" si="8"/>
        <v>5</v>
      </c>
      <c r="E10" s="43">
        <f>VLOOKUP(D10,'Yield curve estimation'!$H$24:$J$38,3,0)</f>
        <v>6.6115251087339844E-2</v>
      </c>
      <c r="F10" s="30">
        <f t="shared" si="0"/>
        <v>0.71850956906565877</v>
      </c>
      <c r="G10" s="38">
        <f t="shared" si="1"/>
        <v>718509.56906565872</v>
      </c>
      <c r="H10" s="38">
        <f t="shared" si="2"/>
        <v>3592547.8453282937</v>
      </c>
      <c r="I10" s="38">
        <f t="shared" si="3"/>
        <v>17962739.226641469</v>
      </c>
      <c r="K10" s="42">
        <f t="shared" si="4"/>
        <v>7.6115251087339839E-2</v>
      </c>
      <c r="L10" s="30">
        <f t="shared" si="5"/>
        <v>0.68346744388058267</v>
      </c>
      <c r="M10" s="38">
        <f t="shared" si="6"/>
        <v>683467.44388058269</v>
      </c>
    </row>
    <row r="11" spans="1:13" x14ac:dyDescent="0.2">
      <c r="A11" s="45">
        <f t="shared" si="7"/>
        <v>2018</v>
      </c>
      <c r="B11" s="108">
        <v>1000000</v>
      </c>
      <c r="D11" s="30">
        <f t="shared" si="8"/>
        <v>6</v>
      </c>
      <c r="E11" s="43">
        <f>VLOOKUP(D11,'Yield curve estimation'!$H$24:$J$38,3,0)</f>
        <v>6.4314980333505772E-2</v>
      </c>
      <c r="F11" s="30">
        <f t="shared" si="0"/>
        <v>0.67984538477195566</v>
      </c>
      <c r="G11" s="38">
        <f t="shared" si="1"/>
        <v>679845.38477195567</v>
      </c>
      <c r="H11" s="38">
        <f t="shared" si="2"/>
        <v>4079072.308631734</v>
      </c>
      <c r="I11" s="38">
        <f t="shared" si="3"/>
        <v>24474433.851790406</v>
      </c>
      <c r="K11" s="42">
        <f t="shared" si="4"/>
        <v>7.4314980333505767E-2</v>
      </c>
      <c r="L11" s="30">
        <f t="shared" si="5"/>
        <v>0.64025427169916493</v>
      </c>
      <c r="M11" s="38">
        <f t="shared" si="6"/>
        <v>640254.27169916488</v>
      </c>
    </row>
    <row r="12" spans="1:13" x14ac:dyDescent="0.2">
      <c r="A12" s="45">
        <f t="shared" si="7"/>
        <v>2019</v>
      </c>
      <c r="B12" s="108">
        <v>1000000</v>
      </c>
      <c r="D12" s="30">
        <f t="shared" si="8"/>
        <v>7</v>
      </c>
      <c r="E12" s="43">
        <f>VLOOKUP(D12,'Yield curve estimation'!$H$24:$J$38,3,0)</f>
        <v>6.2752899242412577E-2</v>
      </c>
      <c r="F12" s="30">
        <f t="shared" si="0"/>
        <v>0.64450654938169849</v>
      </c>
      <c r="G12" s="38">
        <f t="shared" si="1"/>
        <v>644506.54938169848</v>
      </c>
      <c r="H12" s="38">
        <f t="shared" si="2"/>
        <v>4511545.8456718894</v>
      </c>
      <c r="I12" s="38">
        <f t="shared" si="3"/>
        <v>31580820.919703227</v>
      </c>
      <c r="K12" s="42">
        <f t="shared" si="4"/>
        <v>7.2752899242412572E-2</v>
      </c>
      <c r="L12" s="30">
        <f t="shared" si="5"/>
        <v>0.6009339235324036</v>
      </c>
      <c r="M12" s="38">
        <f t="shared" si="6"/>
        <v>600933.92353240366</v>
      </c>
    </row>
    <row r="13" spans="1:13" x14ac:dyDescent="0.2">
      <c r="A13" s="45">
        <f t="shared" si="7"/>
        <v>2020</v>
      </c>
      <c r="B13" s="108">
        <v>1000000</v>
      </c>
      <c r="D13" s="30">
        <f t="shared" si="8"/>
        <v>8</v>
      </c>
      <c r="E13" s="43">
        <f>VLOOKUP(D13,'Yield curve estimation'!$H$24:$J$38,3,0)</f>
        <v>6.1395532992511763E-2</v>
      </c>
      <c r="F13" s="30">
        <f t="shared" si="0"/>
        <v>0.61191355041458761</v>
      </c>
      <c r="G13" s="38">
        <f t="shared" si="1"/>
        <v>611913.5504145876</v>
      </c>
      <c r="H13" s="38">
        <f t="shared" si="2"/>
        <v>4895308.4033167008</v>
      </c>
      <c r="I13" s="38">
        <f t="shared" si="3"/>
        <v>39162467.226533607</v>
      </c>
      <c r="K13" s="42">
        <f t="shared" si="4"/>
        <v>7.1395532992511765E-2</v>
      </c>
      <c r="L13" s="30">
        <f t="shared" si="5"/>
        <v>0.56486740096318855</v>
      </c>
      <c r="M13" s="38">
        <f t="shared" si="6"/>
        <v>564867.4009631885</v>
      </c>
    </row>
    <row r="14" spans="1:13" x14ac:dyDescent="0.2">
      <c r="A14" s="45">
        <f t="shared" si="7"/>
        <v>2021</v>
      </c>
      <c r="B14" s="108">
        <v>1000000</v>
      </c>
      <c r="D14" s="30">
        <f t="shared" si="8"/>
        <v>9</v>
      </c>
      <c r="E14" s="43">
        <f>VLOOKUP(D14,'Yield curve estimation'!$H$24:$J$38,3,0)</f>
        <v>6.0213340195811371E-2</v>
      </c>
      <c r="F14" s="30">
        <f t="shared" si="0"/>
        <v>0.5816304132410679</v>
      </c>
      <c r="G14" s="38">
        <f t="shared" si="1"/>
        <v>581630.4132410679</v>
      </c>
      <c r="H14" s="38">
        <f t="shared" si="2"/>
        <v>5234673.7191696111</v>
      </c>
      <c r="I14" s="38">
        <f t="shared" si="3"/>
        <v>47112063.472526498</v>
      </c>
      <c r="K14" s="42">
        <f t="shared" si="4"/>
        <v>7.0213340195811366E-2</v>
      </c>
      <c r="L14" s="30">
        <f t="shared" si="5"/>
        <v>0.53157017296320341</v>
      </c>
      <c r="M14" s="38">
        <f t="shared" si="6"/>
        <v>531570.1729632034</v>
      </c>
    </row>
    <row r="15" spans="1:13" x14ac:dyDescent="0.2">
      <c r="A15" s="45">
        <f t="shared" si="7"/>
        <v>2022</v>
      </c>
      <c r="B15" s="108">
        <v>1000000</v>
      </c>
      <c r="D15" s="30">
        <f t="shared" si="8"/>
        <v>10</v>
      </c>
      <c r="E15" s="43">
        <f>VLOOKUP(D15,'Yield curve estimation'!$H$24:$J$38,3,0)</f>
        <v>5.9180735340024569E-2</v>
      </c>
      <c r="F15" s="30">
        <f t="shared" si="0"/>
        <v>0.55332632424873385</v>
      </c>
      <c r="G15" s="38">
        <f t="shared" si="1"/>
        <v>553326.32424873381</v>
      </c>
      <c r="H15" s="38">
        <f t="shared" si="2"/>
        <v>5533263.2424873384</v>
      </c>
      <c r="I15" s="38">
        <f t="shared" si="3"/>
        <v>55332632.424873382</v>
      </c>
      <c r="K15" s="42">
        <f t="shared" si="4"/>
        <v>6.9180735340024571E-2</v>
      </c>
      <c r="L15" s="30">
        <f t="shared" si="5"/>
        <v>0.50067036256455255</v>
      </c>
      <c r="M15" s="38">
        <f t="shared" si="6"/>
        <v>500670.36256455258</v>
      </c>
    </row>
    <row r="16" spans="1:13" hidden="1" x14ac:dyDescent="0.2">
      <c r="A16" s="45">
        <f t="shared" si="7"/>
        <v>2023</v>
      </c>
      <c r="B16" s="108">
        <v>0</v>
      </c>
      <c r="D16" s="30">
        <f t="shared" si="8"/>
        <v>11</v>
      </c>
      <c r="E16" s="43">
        <f>VLOOKUP(D16,'Yield curve estimation'!$H$24:$J$38,3,0)</f>
        <v>5.8120562656405667E-2</v>
      </c>
      <c r="F16" s="30">
        <f t="shared" si="0"/>
        <v>0.52764783909013513</v>
      </c>
      <c r="G16" s="38">
        <f t="shared" si="1"/>
        <v>0</v>
      </c>
      <c r="H16" s="38">
        <f t="shared" si="2"/>
        <v>0</v>
      </c>
      <c r="I16" s="38">
        <f t="shared" si="3"/>
        <v>0</v>
      </c>
      <c r="K16" s="42">
        <f t="shared" si="4"/>
        <v>6.8120562656405662E-2</v>
      </c>
      <c r="L16" s="30">
        <f t="shared" si="5"/>
        <v>0.47268494567239294</v>
      </c>
      <c r="M16" s="38">
        <f t="shared" si="6"/>
        <v>0</v>
      </c>
    </row>
    <row r="17" spans="1:14" hidden="1" x14ac:dyDescent="0.2">
      <c r="A17" s="45">
        <f t="shared" si="7"/>
        <v>2024</v>
      </c>
      <c r="B17" s="108">
        <v>0</v>
      </c>
      <c r="D17" s="30">
        <f t="shared" si="8"/>
        <v>12</v>
      </c>
      <c r="E17" s="43">
        <f>VLOOKUP(D17,'Yield curve estimation'!$H$24:$J$38,3,0)</f>
        <v>5.703447668732179E-2</v>
      </c>
      <c r="F17" s="30">
        <f t="shared" si="0"/>
        <v>0.50438585412055104</v>
      </c>
      <c r="G17" s="38">
        <f t="shared" si="1"/>
        <v>0</v>
      </c>
      <c r="H17" s="38">
        <f t="shared" si="2"/>
        <v>0</v>
      </c>
      <c r="I17" s="38">
        <f t="shared" si="3"/>
        <v>0</v>
      </c>
      <c r="K17" s="42">
        <f t="shared" si="4"/>
        <v>6.7034476687321792E-2</v>
      </c>
      <c r="L17" s="30">
        <f t="shared" si="5"/>
        <v>0.44735012201055563</v>
      </c>
      <c r="M17" s="38">
        <f t="shared" si="6"/>
        <v>0</v>
      </c>
    </row>
    <row r="18" spans="1:14" hidden="1" x14ac:dyDescent="0.2">
      <c r="A18" s="45">
        <f t="shared" si="7"/>
        <v>2025</v>
      </c>
      <c r="B18" s="108">
        <v>0</v>
      </c>
      <c r="D18" s="30">
        <f t="shared" si="8"/>
        <v>13</v>
      </c>
      <c r="E18" s="43">
        <f>VLOOKUP(D18,'Yield curve estimation'!$H$24:$J$38,3,0)</f>
        <v>5.5923827671606058E-2</v>
      </c>
      <c r="F18" s="30">
        <f t="shared" si="0"/>
        <v>0.48335217041102313</v>
      </c>
      <c r="G18" s="38">
        <f t="shared" si="1"/>
        <v>0</v>
      </c>
      <c r="H18" s="38">
        <f t="shared" si="2"/>
        <v>0</v>
      </c>
      <c r="I18" s="38">
        <f t="shared" si="3"/>
        <v>0</v>
      </c>
      <c r="K18" s="42">
        <f t="shared" si="4"/>
        <v>6.5923827671606053E-2</v>
      </c>
      <c r="L18" s="30">
        <f t="shared" si="5"/>
        <v>0.42442933236345598</v>
      </c>
      <c r="M18" s="38">
        <f t="shared" si="6"/>
        <v>0</v>
      </c>
    </row>
    <row r="19" spans="1:14" hidden="1" x14ac:dyDescent="0.2">
      <c r="A19" s="45">
        <f t="shared" si="7"/>
        <v>2026</v>
      </c>
      <c r="B19" s="108">
        <v>0</v>
      </c>
      <c r="D19" s="30">
        <f t="shared" si="8"/>
        <v>14</v>
      </c>
      <c r="E19" s="43">
        <f>VLOOKUP(D19,'Yield curve estimation'!$H$24:$J$38,3,0)</f>
        <v>5.4789840650254031E-2</v>
      </c>
      <c r="F19" s="30">
        <f t="shared" si="0"/>
        <v>0.46437736572107091</v>
      </c>
      <c r="G19" s="38">
        <f t="shared" si="1"/>
        <v>0</v>
      </c>
      <c r="H19" s="38">
        <f t="shared" si="2"/>
        <v>0</v>
      </c>
      <c r="I19" s="38">
        <f t="shared" si="3"/>
        <v>0</v>
      </c>
      <c r="K19" s="42">
        <f t="shared" si="4"/>
        <v>6.4789840650254032E-2</v>
      </c>
      <c r="L19" s="30">
        <f t="shared" si="5"/>
        <v>0.40371028722241609</v>
      </c>
      <c r="M19" s="38">
        <f t="shared" si="6"/>
        <v>0</v>
      </c>
    </row>
    <row r="20" spans="1:14" hidden="1" x14ac:dyDescent="0.2">
      <c r="A20" s="44">
        <f t="shared" si="7"/>
        <v>2027</v>
      </c>
      <c r="B20" s="109">
        <v>0</v>
      </c>
      <c r="D20" s="30">
        <f t="shared" si="8"/>
        <v>15</v>
      </c>
      <c r="E20" s="43">
        <f>VLOOKUP(D20,'Yield curve estimation'!$H$24:$J$38,3,0)</f>
        <v>5.3633722729347869E-2</v>
      </c>
      <c r="F20" s="30">
        <f t="shared" si="0"/>
        <v>0.44730891370568815</v>
      </c>
      <c r="G20" s="38">
        <f t="shared" si="1"/>
        <v>0</v>
      </c>
      <c r="H20" s="38">
        <f t="shared" si="2"/>
        <v>0</v>
      </c>
      <c r="I20" s="38">
        <f t="shared" si="3"/>
        <v>0</v>
      </c>
      <c r="K20" s="42">
        <f t="shared" si="4"/>
        <v>6.3633722729347864E-2</v>
      </c>
      <c r="L20" s="30">
        <f t="shared" si="5"/>
        <v>0.3850023499525137</v>
      </c>
      <c r="M20" s="38">
        <f t="shared" si="6"/>
        <v>0</v>
      </c>
    </row>
    <row r="21" spans="1:14" ht="12" thickBot="1" x14ac:dyDescent="0.25">
      <c r="A21" s="41" t="s">
        <v>17</v>
      </c>
      <c r="B21" s="35">
        <f>SUM(B6:B20)</f>
        <v>10000000</v>
      </c>
      <c r="G21" s="39">
        <f>SUM(G6:G20)</f>
        <v>7150166.4112795899</v>
      </c>
      <c r="H21" s="39">
        <f>SUM(H6:H20)</f>
        <v>35972607.088370882</v>
      </c>
      <c r="I21" s="39">
        <f>SUM(I6:I20)</f>
        <v>239468859.21829787</v>
      </c>
      <c r="L21" s="40" t="s">
        <v>28</v>
      </c>
      <c r="M21" s="39">
        <f>SUM(M6:M20)</f>
        <v>6802115.4700650852</v>
      </c>
      <c r="N21" s="38">
        <f>+M21-$G$21</f>
        <v>-348050.94121450465</v>
      </c>
    </row>
    <row r="22" spans="1:14" ht="12" thickTop="1" x14ac:dyDescent="0.2"/>
    <row r="23" spans="1:14" x14ac:dyDescent="0.2">
      <c r="H23" s="29" t="s">
        <v>8</v>
      </c>
      <c r="I23" s="29" t="s">
        <v>9</v>
      </c>
      <c r="L23" s="29" t="s">
        <v>27</v>
      </c>
    </row>
    <row r="24" spans="1:14" x14ac:dyDescent="0.2">
      <c r="H24" s="30">
        <f>H21/G21</f>
        <v>5.0310167650955755</v>
      </c>
      <c r="I24" s="30">
        <f>I21/G21</f>
        <v>33.491368654095794</v>
      </c>
      <c r="L24" s="30" t="s">
        <v>26</v>
      </c>
      <c r="M24" s="38">
        <f>$G$21*(1-$K$2*$H$24)</f>
        <v>6790440.3403958809</v>
      </c>
      <c r="N24" s="38">
        <f>+M24-$G$21</f>
        <v>-359726.07088370901</v>
      </c>
    </row>
    <row r="25" spans="1:14" x14ac:dyDescent="0.2">
      <c r="L25" s="30" t="s">
        <v>25</v>
      </c>
      <c r="M25" s="38">
        <f>$G$21*(1-$K$2*$H$24+0.5*$I$24*$K$2^2)</f>
        <v>6802413.783356796</v>
      </c>
      <c r="N25" s="38">
        <f>+M25-$G$21</f>
        <v>-347752.62792279385</v>
      </c>
    </row>
    <row r="26" spans="1:14" x14ac:dyDescent="0.2">
      <c r="I26" s="29" t="s">
        <v>24</v>
      </c>
    </row>
    <row r="27" spans="1:14" x14ac:dyDescent="0.2">
      <c r="I27" s="30">
        <f>+I24-H24^2</f>
        <v>8.1802389634230437</v>
      </c>
    </row>
  </sheetData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6"/>
  <sheetViews>
    <sheetView zoomScale="115" zoomScaleNormal="115" workbookViewId="0">
      <selection activeCell="K8" sqref="K8"/>
    </sheetView>
  </sheetViews>
  <sheetFormatPr defaultColWidth="15.5" defaultRowHeight="11.25" customHeight="1" x14ac:dyDescent="0.2"/>
  <cols>
    <col min="1" max="1" width="6" style="27" bestFit="1" customWidth="1"/>
    <col min="2" max="2" width="10.83203125" style="27" bestFit="1" customWidth="1"/>
    <col min="3" max="3" width="12.6640625" style="27" customWidth="1"/>
    <col min="4" max="4" width="15.83203125" style="27" bestFit="1" customWidth="1"/>
    <col min="5" max="5" width="1.5" style="27" customWidth="1"/>
    <col min="6" max="8" width="10.6640625" style="27" customWidth="1"/>
    <col min="9" max="9" width="3.1640625" style="27" customWidth="1"/>
    <col min="10" max="10" width="15.1640625" style="27" bestFit="1" customWidth="1"/>
    <col min="11" max="11" width="14.6640625" style="27" bestFit="1" customWidth="1"/>
    <col min="12" max="12" width="13.5" style="27" customWidth="1"/>
    <col min="13" max="13" width="14.83203125" style="27" bestFit="1" customWidth="1"/>
    <col min="14" max="16" width="13.33203125" style="27" customWidth="1"/>
    <col min="17" max="16384" width="15.5" style="27"/>
  </cols>
  <sheetData>
    <row r="2" spans="1:13" ht="11.25" customHeight="1" x14ac:dyDescent="0.2">
      <c r="F2" s="27" t="s">
        <v>46</v>
      </c>
    </row>
    <row r="3" spans="1:13" ht="11.25" customHeight="1" x14ac:dyDescent="0.2">
      <c r="E3" s="32" t="s">
        <v>1</v>
      </c>
      <c r="F3" s="104">
        <v>3</v>
      </c>
      <c r="G3" s="104">
        <v>5</v>
      </c>
      <c r="H3" s="104">
        <v>10</v>
      </c>
      <c r="J3" s="100"/>
      <c r="K3" s="99" t="s">
        <v>45</v>
      </c>
      <c r="L3" s="101"/>
    </row>
    <row r="4" spans="1:13" ht="11.25" customHeight="1" x14ac:dyDescent="0.2">
      <c r="C4" s="29"/>
      <c r="E4" s="32" t="s">
        <v>2</v>
      </c>
      <c r="F4" s="103">
        <f>VLOOKUP(F$3,'Yield curve estimation'!$A$5:$D$20,4,0)</f>
        <v>0.05</v>
      </c>
      <c r="G4" s="103">
        <f>VLOOKUP(G$3,'Yield curve estimation'!$A$5:$D$20,4,0)</f>
        <v>0.05</v>
      </c>
      <c r="H4" s="103">
        <f>VLOOKUP(H$3,'Yield curve estimation'!$A$5:$D$20,4,0)</f>
        <v>0.05</v>
      </c>
      <c r="J4" s="97" t="str">
        <f>F8</f>
        <v>Maturity: 3</v>
      </c>
      <c r="K4" s="96" t="str">
        <f>G8</f>
        <v>Maturity: 5</v>
      </c>
      <c r="L4" s="95" t="str">
        <f>H8</f>
        <v>Maturity: 10</v>
      </c>
    </row>
    <row r="5" spans="1:13" ht="11.25" customHeight="1" x14ac:dyDescent="0.2">
      <c r="C5" s="31"/>
      <c r="E5" s="32" t="s">
        <v>3</v>
      </c>
      <c r="F5" s="69">
        <f>VLOOKUP(F$3,'Yield curve estimation'!$A$5:$D$20,3,0)</f>
        <v>100</v>
      </c>
      <c r="G5" s="69">
        <f>VLOOKUP(G$3,'Yield curve estimation'!$A$5:$D$20,3,0)</f>
        <v>100</v>
      </c>
      <c r="H5" s="69">
        <f>VLOOKUP(H$3,'Yield curve estimation'!$A$5:$D$20,3,0)</f>
        <v>100</v>
      </c>
      <c r="J5" s="102">
        <f>J34</f>
        <v>28766.675934155035</v>
      </c>
      <c r="K5" s="102">
        <f>J35</f>
        <v>23255.650772016088</v>
      </c>
      <c r="L5" s="102">
        <f>J36</f>
        <v>25288.518616374393</v>
      </c>
    </row>
    <row r="7" spans="1:13" ht="11.25" customHeight="1" x14ac:dyDescent="0.2">
      <c r="F7" s="100"/>
      <c r="G7" s="99" t="s">
        <v>44</v>
      </c>
      <c r="H7" s="101"/>
      <c r="J7" s="100"/>
      <c r="K7" s="99" t="s">
        <v>53</v>
      </c>
      <c r="L7" s="99"/>
      <c r="M7" s="33" t="s">
        <v>43</v>
      </c>
    </row>
    <row r="8" spans="1:13" ht="11.25" customHeight="1" x14ac:dyDescent="0.2">
      <c r="A8" s="98" t="s">
        <v>32</v>
      </c>
      <c r="B8" s="94" t="s">
        <v>13</v>
      </c>
      <c r="C8" s="95" t="s">
        <v>18</v>
      </c>
      <c r="D8" s="94" t="s">
        <v>42</v>
      </c>
      <c r="F8" s="97" t="str">
        <f>"Maturity: "&amp;F3</f>
        <v>Maturity: 3</v>
      </c>
      <c r="G8" s="96" t="str">
        <f>"Maturity: "&amp;G3</f>
        <v>Maturity: 5</v>
      </c>
      <c r="H8" s="95" t="str">
        <f>"Maturity: "&amp;H3</f>
        <v>Maturity: 10</v>
      </c>
      <c r="J8" s="97" t="str">
        <f>"Maturity: "&amp;F3</f>
        <v>Maturity: 3</v>
      </c>
      <c r="K8" s="96" t="str">
        <f>"Maturity: "&amp;G3</f>
        <v>Maturity: 5</v>
      </c>
      <c r="L8" s="95" t="str">
        <f>"Maturity: "&amp;H3</f>
        <v>Maturity: 10</v>
      </c>
      <c r="M8" s="94" t="s">
        <v>17</v>
      </c>
    </row>
    <row r="9" spans="1:13" ht="11.25" customHeight="1" x14ac:dyDescent="0.2">
      <c r="A9" s="93">
        <v>1</v>
      </c>
      <c r="B9" s="92">
        <f>Liability!E6</f>
        <v>7.6457275378575065E-2</v>
      </c>
      <c r="C9" s="91">
        <f t="shared" ref="C9:C23" si="0">EXP(-$B9*$A9)</f>
        <v>0.92639249321188222</v>
      </c>
      <c r="D9" s="59">
        <f>Liability!B6</f>
        <v>1000000</v>
      </c>
      <c r="F9" s="90">
        <f t="shared" ref="F9:H23" si="1">(($A9&lt;=F$3)*F$4+($A9=F$3))*F$5</f>
        <v>5</v>
      </c>
      <c r="G9" s="81">
        <f t="shared" si="1"/>
        <v>5</v>
      </c>
      <c r="H9" s="81">
        <f t="shared" si="1"/>
        <v>5</v>
      </c>
      <c r="J9" s="83">
        <f t="shared" ref="J9:J23" si="2">F9*J$5</f>
        <v>143833.37967077518</v>
      </c>
      <c r="K9" s="82">
        <f t="shared" ref="K9:K23" si="3">G9*K$5</f>
        <v>116278.25386008044</v>
      </c>
      <c r="L9" s="81">
        <f t="shared" ref="L9:L23" si="4">H9*L$5</f>
        <v>126442.59308187196</v>
      </c>
      <c r="M9" s="89">
        <f t="shared" ref="M9:M23" si="5">SUM(J9:L9)</f>
        <v>386554.22661272757</v>
      </c>
    </row>
    <row r="10" spans="1:13" ht="11.25" customHeight="1" x14ac:dyDescent="0.2">
      <c r="A10" s="93">
        <f t="shared" ref="A10:A23" si="6">A9+1</f>
        <v>2</v>
      </c>
      <c r="B10" s="92">
        <f>Liability!E7</f>
        <v>7.3324957709176575E-2</v>
      </c>
      <c r="C10" s="91">
        <f t="shared" si="0"/>
        <v>0.86359625623573122</v>
      </c>
      <c r="D10" s="59">
        <f>Liability!B7</f>
        <v>1000000</v>
      </c>
      <c r="F10" s="90">
        <f t="shared" si="1"/>
        <v>5</v>
      </c>
      <c r="G10" s="81">
        <f t="shared" si="1"/>
        <v>5</v>
      </c>
      <c r="H10" s="81">
        <f t="shared" si="1"/>
        <v>5</v>
      </c>
      <c r="J10" s="83">
        <f t="shared" si="2"/>
        <v>143833.37967077518</v>
      </c>
      <c r="K10" s="82">
        <f t="shared" si="3"/>
        <v>116278.25386008044</v>
      </c>
      <c r="L10" s="81">
        <f t="shared" si="4"/>
        <v>126442.59308187196</v>
      </c>
      <c r="M10" s="89">
        <f t="shared" si="5"/>
        <v>386554.22661272757</v>
      </c>
    </row>
    <row r="11" spans="1:13" ht="11.25" customHeight="1" x14ac:dyDescent="0.2">
      <c r="A11" s="93">
        <f t="shared" si="6"/>
        <v>3</v>
      </c>
      <c r="B11" s="92">
        <f>Liability!E8</f>
        <v>7.0580943753493816E-2</v>
      </c>
      <c r="C11" s="91">
        <f t="shared" si="0"/>
        <v>0.80917276475112909</v>
      </c>
      <c r="D11" s="59">
        <f>Liability!B8</f>
        <v>1000000</v>
      </c>
      <c r="F11" s="90">
        <f t="shared" si="1"/>
        <v>105</v>
      </c>
      <c r="G11" s="81">
        <f t="shared" si="1"/>
        <v>5</v>
      </c>
      <c r="H11" s="81">
        <f t="shared" si="1"/>
        <v>5</v>
      </c>
      <c r="J11" s="83">
        <f t="shared" si="2"/>
        <v>3020500.9730862789</v>
      </c>
      <c r="K11" s="82">
        <f t="shared" si="3"/>
        <v>116278.25386008044</v>
      </c>
      <c r="L11" s="81">
        <f t="shared" si="4"/>
        <v>126442.59308187196</v>
      </c>
      <c r="M11" s="89">
        <f t="shared" si="5"/>
        <v>3263221.8200282315</v>
      </c>
    </row>
    <row r="12" spans="1:13" ht="11.25" customHeight="1" x14ac:dyDescent="0.2">
      <c r="A12" s="93">
        <f t="shared" si="6"/>
        <v>4</v>
      </c>
      <c r="B12" s="92">
        <f>Liability!E9</f>
        <v>6.819077694139955E-2</v>
      </c>
      <c r="C12" s="91">
        <f t="shared" si="0"/>
        <v>0.76127310595714537</v>
      </c>
      <c r="D12" s="59">
        <f>Liability!B9</f>
        <v>1000000</v>
      </c>
      <c r="F12" s="90">
        <f t="shared" si="1"/>
        <v>0</v>
      </c>
      <c r="G12" s="81">
        <f t="shared" si="1"/>
        <v>5</v>
      </c>
      <c r="H12" s="81">
        <f t="shared" si="1"/>
        <v>5</v>
      </c>
      <c r="J12" s="83">
        <f t="shared" si="2"/>
        <v>0</v>
      </c>
      <c r="K12" s="82">
        <f t="shared" si="3"/>
        <v>116278.25386008044</v>
      </c>
      <c r="L12" s="81">
        <f t="shared" si="4"/>
        <v>126442.59308187196</v>
      </c>
      <c r="M12" s="89">
        <f t="shared" si="5"/>
        <v>242720.84694195242</v>
      </c>
    </row>
    <row r="13" spans="1:13" ht="11.25" customHeight="1" x14ac:dyDescent="0.2">
      <c r="A13" s="93">
        <f t="shared" si="6"/>
        <v>5</v>
      </c>
      <c r="B13" s="92">
        <f>Liability!E10</f>
        <v>6.6115251087339844E-2</v>
      </c>
      <c r="C13" s="91">
        <f t="shared" si="0"/>
        <v>0.71850956906565877</v>
      </c>
      <c r="D13" s="59">
        <f>Liability!B10</f>
        <v>1000000</v>
      </c>
      <c r="F13" s="90">
        <f t="shared" si="1"/>
        <v>0</v>
      </c>
      <c r="G13" s="81">
        <f t="shared" si="1"/>
        <v>105</v>
      </c>
      <c r="H13" s="81">
        <f t="shared" si="1"/>
        <v>5</v>
      </c>
      <c r="J13" s="83">
        <f t="shared" si="2"/>
        <v>0</v>
      </c>
      <c r="K13" s="82">
        <f t="shared" si="3"/>
        <v>2441843.3310616892</v>
      </c>
      <c r="L13" s="81">
        <f t="shared" si="4"/>
        <v>126442.59308187196</v>
      </c>
      <c r="M13" s="89">
        <f t="shared" si="5"/>
        <v>2568285.9241435612</v>
      </c>
    </row>
    <row r="14" spans="1:13" ht="11.25" customHeight="1" x14ac:dyDescent="0.2">
      <c r="A14" s="93">
        <f t="shared" si="6"/>
        <v>6</v>
      </c>
      <c r="B14" s="92">
        <f>Liability!E11</f>
        <v>6.4314980333505772E-2</v>
      </c>
      <c r="C14" s="91">
        <f t="shared" si="0"/>
        <v>0.67984538477195566</v>
      </c>
      <c r="D14" s="59">
        <f>Liability!B11</f>
        <v>1000000</v>
      </c>
      <c r="F14" s="90">
        <f t="shared" si="1"/>
        <v>0</v>
      </c>
      <c r="G14" s="81">
        <f t="shared" si="1"/>
        <v>0</v>
      </c>
      <c r="H14" s="81">
        <f t="shared" si="1"/>
        <v>5</v>
      </c>
      <c r="J14" s="83">
        <f t="shared" si="2"/>
        <v>0</v>
      </c>
      <c r="K14" s="82">
        <f t="shared" si="3"/>
        <v>0</v>
      </c>
      <c r="L14" s="81">
        <f t="shared" si="4"/>
        <v>126442.59308187196</v>
      </c>
      <c r="M14" s="89">
        <f t="shared" si="5"/>
        <v>126442.59308187196</v>
      </c>
    </row>
    <row r="15" spans="1:13" ht="11.25" customHeight="1" x14ac:dyDescent="0.2">
      <c r="A15" s="93">
        <f t="shared" si="6"/>
        <v>7</v>
      </c>
      <c r="B15" s="92">
        <f>Liability!E12</f>
        <v>6.2752899242412577E-2</v>
      </c>
      <c r="C15" s="91">
        <f t="shared" si="0"/>
        <v>0.64450654938169849</v>
      </c>
      <c r="D15" s="59">
        <f>Liability!B12</f>
        <v>1000000</v>
      </c>
      <c r="F15" s="90">
        <f t="shared" si="1"/>
        <v>0</v>
      </c>
      <c r="G15" s="81">
        <f t="shared" si="1"/>
        <v>0</v>
      </c>
      <c r="H15" s="81">
        <f t="shared" si="1"/>
        <v>5</v>
      </c>
      <c r="J15" s="83">
        <f t="shared" si="2"/>
        <v>0</v>
      </c>
      <c r="K15" s="82">
        <f t="shared" si="3"/>
        <v>0</v>
      </c>
      <c r="L15" s="81">
        <f t="shared" si="4"/>
        <v>126442.59308187196</v>
      </c>
      <c r="M15" s="89">
        <f t="shared" si="5"/>
        <v>126442.59308187196</v>
      </c>
    </row>
    <row r="16" spans="1:13" ht="11.25" customHeight="1" x14ac:dyDescent="0.2">
      <c r="A16" s="93">
        <f t="shared" si="6"/>
        <v>8</v>
      </c>
      <c r="B16" s="92">
        <f>Liability!E13</f>
        <v>6.1395532992511763E-2</v>
      </c>
      <c r="C16" s="91">
        <f t="shared" si="0"/>
        <v>0.61191355041458761</v>
      </c>
      <c r="D16" s="59">
        <f>Liability!B13</f>
        <v>1000000</v>
      </c>
      <c r="F16" s="90">
        <f t="shared" si="1"/>
        <v>0</v>
      </c>
      <c r="G16" s="81">
        <f t="shared" si="1"/>
        <v>0</v>
      </c>
      <c r="H16" s="81">
        <f t="shared" si="1"/>
        <v>5</v>
      </c>
      <c r="J16" s="83">
        <f t="shared" si="2"/>
        <v>0</v>
      </c>
      <c r="K16" s="82">
        <f t="shared" si="3"/>
        <v>0</v>
      </c>
      <c r="L16" s="81">
        <f t="shared" si="4"/>
        <v>126442.59308187196</v>
      </c>
      <c r="M16" s="89">
        <f t="shared" si="5"/>
        <v>126442.59308187196</v>
      </c>
    </row>
    <row r="17" spans="1:13" ht="11.25" customHeight="1" x14ac:dyDescent="0.2">
      <c r="A17" s="93">
        <f t="shared" si="6"/>
        <v>9</v>
      </c>
      <c r="B17" s="92">
        <f>Liability!E14</f>
        <v>6.0213340195811371E-2</v>
      </c>
      <c r="C17" s="91">
        <f t="shared" si="0"/>
        <v>0.5816304132410679</v>
      </c>
      <c r="D17" s="59">
        <f>Liability!B14</f>
        <v>1000000</v>
      </c>
      <c r="F17" s="90">
        <f t="shared" si="1"/>
        <v>0</v>
      </c>
      <c r="G17" s="81">
        <f t="shared" si="1"/>
        <v>0</v>
      </c>
      <c r="H17" s="81">
        <f t="shared" si="1"/>
        <v>5</v>
      </c>
      <c r="J17" s="83">
        <f t="shared" si="2"/>
        <v>0</v>
      </c>
      <c r="K17" s="82">
        <f t="shared" si="3"/>
        <v>0</v>
      </c>
      <c r="L17" s="81">
        <f t="shared" si="4"/>
        <v>126442.59308187196</v>
      </c>
      <c r="M17" s="89">
        <f t="shared" si="5"/>
        <v>126442.59308187196</v>
      </c>
    </row>
    <row r="18" spans="1:13" ht="11.25" customHeight="1" x14ac:dyDescent="0.2">
      <c r="A18" s="93">
        <f t="shared" si="6"/>
        <v>10</v>
      </c>
      <c r="B18" s="92">
        <f>Liability!E15</f>
        <v>5.9180735340024569E-2</v>
      </c>
      <c r="C18" s="91">
        <f t="shared" si="0"/>
        <v>0.55332632424873385</v>
      </c>
      <c r="D18" s="59">
        <f>Liability!B15</f>
        <v>1000000</v>
      </c>
      <c r="F18" s="90">
        <f t="shared" si="1"/>
        <v>0</v>
      </c>
      <c r="G18" s="81">
        <f t="shared" si="1"/>
        <v>0</v>
      </c>
      <c r="H18" s="81">
        <f t="shared" si="1"/>
        <v>105</v>
      </c>
      <c r="J18" s="83">
        <f t="shared" si="2"/>
        <v>0</v>
      </c>
      <c r="K18" s="82">
        <f t="shared" si="3"/>
        <v>0</v>
      </c>
      <c r="L18" s="81">
        <f t="shared" si="4"/>
        <v>2655294.4547193111</v>
      </c>
      <c r="M18" s="89">
        <f t="shared" si="5"/>
        <v>2655294.4547193111</v>
      </c>
    </row>
    <row r="19" spans="1:13" ht="11.25" hidden="1" customHeight="1" x14ac:dyDescent="0.2">
      <c r="A19" s="93">
        <f t="shared" si="6"/>
        <v>11</v>
      </c>
      <c r="B19" s="92">
        <f>Liability!E16</f>
        <v>5.8120562656405667E-2</v>
      </c>
      <c r="C19" s="91">
        <f t="shared" si="0"/>
        <v>0.52764783909013513</v>
      </c>
      <c r="D19" s="59">
        <f>Liability!B16</f>
        <v>0</v>
      </c>
      <c r="F19" s="90">
        <f t="shared" si="1"/>
        <v>0</v>
      </c>
      <c r="G19" s="81">
        <f t="shared" si="1"/>
        <v>0</v>
      </c>
      <c r="H19" s="81">
        <f t="shared" si="1"/>
        <v>0</v>
      </c>
      <c r="J19" s="83">
        <f t="shared" si="2"/>
        <v>0</v>
      </c>
      <c r="K19" s="82">
        <f t="shared" si="3"/>
        <v>0</v>
      </c>
      <c r="L19" s="81">
        <f t="shared" si="4"/>
        <v>0</v>
      </c>
      <c r="M19" s="89">
        <f t="shared" si="5"/>
        <v>0</v>
      </c>
    </row>
    <row r="20" spans="1:13" ht="11.25" hidden="1" customHeight="1" x14ac:dyDescent="0.2">
      <c r="A20" s="93">
        <f t="shared" si="6"/>
        <v>12</v>
      </c>
      <c r="B20" s="92">
        <f>Liability!E17</f>
        <v>5.703447668732179E-2</v>
      </c>
      <c r="C20" s="91">
        <f t="shared" si="0"/>
        <v>0.50438585412055104</v>
      </c>
      <c r="D20" s="59">
        <f>Liability!B17</f>
        <v>0</v>
      </c>
      <c r="F20" s="90">
        <f t="shared" si="1"/>
        <v>0</v>
      </c>
      <c r="G20" s="81">
        <f t="shared" si="1"/>
        <v>0</v>
      </c>
      <c r="H20" s="81">
        <f t="shared" si="1"/>
        <v>0</v>
      </c>
      <c r="J20" s="83">
        <f t="shared" si="2"/>
        <v>0</v>
      </c>
      <c r="K20" s="82">
        <f t="shared" si="3"/>
        <v>0</v>
      </c>
      <c r="L20" s="81">
        <f t="shared" si="4"/>
        <v>0</v>
      </c>
      <c r="M20" s="89">
        <f t="shared" si="5"/>
        <v>0</v>
      </c>
    </row>
    <row r="21" spans="1:13" ht="11.25" hidden="1" customHeight="1" x14ac:dyDescent="0.2">
      <c r="A21" s="93">
        <f t="shared" si="6"/>
        <v>13</v>
      </c>
      <c r="B21" s="92">
        <f>Liability!E18</f>
        <v>5.5923827671606058E-2</v>
      </c>
      <c r="C21" s="91">
        <f t="shared" si="0"/>
        <v>0.48335217041102313</v>
      </c>
      <c r="D21" s="59">
        <f>Liability!B18</f>
        <v>0</v>
      </c>
      <c r="F21" s="90">
        <f t="shared" si="1"/>
        <v>0</v>
      </c>
      <c r="G21" s="81">
        <f t="shared" si="1"/>
        <v>0</v>
      </c>
      <c r="H21" s="81">
        <f t="shared" si="1"/>
        <v>0</v>
      </c>
      <c r="J21" s="83">
        <f t="shared" si="2"/>
        <v>0</v>
      </c>
      <c r="K21" s="82">
        <f t="shared" si="3"/>
        <v>0</v>
      </c>
      <c r="L21" s="81">
        <f t="shared" si="4"/>
        <v>0</v>
      </c>
      <c r="M21" s="89">
        <f t="shared" si="5"/>
        <v>0</v>
      </c>
    </row>
    <row r="22" spans="1:13" ht="11.25" hidden="1" customHeight="1" x14ac:dyDescent="0.2">
      <c r="A22" s="93">
        <f t="shared" si="6"/>
        <v>14</v>
      </c>
      <c r="B22" s="92">
        <f>Liability!E19</f>
        <v>5.4789840650254031E-2</v>
      </c>
      <c r="C22" s="91">
        <f t="shared" si="0"/>
        <v>0.46437736572107091</v>
      </c>
      <c r="D22" s="59">
        <f>Liability!B19</f>
        <v>0</v>
      </c>
      <c r="F22" s="90">
        <f t="shared" si="1"/>
        <v>0</v>
      </c>
      <c r="G22" s="81">
        <f t="shared" si="1"/>
        <v>0</v>
      </c>
      <c r="H22" s="81">
        <f t="shared" si="1"/>
        <v>0</v>
      </c>
      <c r="J22" s="83">
        <f t="shared" si="2"/>
        <v>0</v>
      </c>
      <c r="K22" s="82">
        <f t="shared" si="3"/>
        <v>0</v>
      </c>
      <c r="L22" s="81">
        <f t="shared" si="4"/>
        <v>0</v>
      </c>
      <c r="M22" s="89">
        <f t="shared" si="5"/>
        <v>0</v>
      </c>
    </row>
    <row r="23" spans="1:13" ht="11.25" hidden="1" customHeight="1" x14ac:dyDescent="0.2">
      <c r="A23" s="88">
        <f t="shared" si="6"/>
        <v>15</v>
      </c>
      <c r="B23" s="87">
        <f>Liability!E20</f>
        <v>5.3633722729347869E-2</v>
      </c>
      <c r="C23" s="86">
        <f t="shared" si="0"/>
        <v>0.44730891370568815</v>
      </c>
      <c r="D23" s="59">
        <f>Liability!B20</f>
        <v>0</v>
      </c>
      <c r="F23" s="85">
        <f t="shared" si="1"/>
        <v>0</v>
      </c>
      <c r="G23" s="84">
        <f t="shared" si="1"/>
        <v>0</v>
      </c>
      <c r="H23" s="84">
        <f t="shared" si="1"/>
        <v>0</v>
      </c>
      <c r="J23" s="83">
        <f t="shared" si="2"/>
        <v>0</v>
      </c>
      <c r="K23" s="82">
        <f t="shared" si="3"/>
        <v>0</v>
      </c>
      <c r="L23" s="81">
        <f t="shared" si="4"/>
        <v>0</v>
      </c>
      <c r="M23" s="80">
        <f t="shared" si="5"/>
        <v>0</v>
      </c>
    </row>
    <row r="24" spans="1:13" ht="11.25" customHeight="1" x14ac:dyDescent="0.2">
      <c r="A24" s="79"/>
      <c r="B24" s="78" t="s">
        <v>17</v>
      </c>
      <c r="C24" s="78"/>
      <c r="D24" s="71">
        <f>SUM(D9:D23)</f>
        <v>10000000</v>
      </c>
      <c r="F24" s="74">
        <f>SUM(F9:F23)</f>
        <v>115</v>
      </c>
      <c r="G24" s="74">
        <f>SUM(G9:G23)</f>
        <v>125</v>
      </c>
      <c r="H24" s="74">
        <f>SUM(H9:H23)</f>
        <v>150</v>
      </c>
      <c r="J24" s="77">
        <f>SUM(J9:J23)</f>
        <v>3308167.7324278294</v>
      </c>
      <c r="K24" s="76">
        <f>SUM(K9:K23)</f>
        <v>2906956.3465020107</v>
      </c>
      <c r="L24" s="75">
        <f>SUM(L9:L23)</f>
        <v>3793277.7924561584</v>
      </c>
      <c r="M24" s="74">
        <f>SUM(M9:M23)</f>
        <v>10008401.871385999</v>
      </c>
    </row>
    <row r="25" spans="1:13" ht="11.25" customHeight="1" x14ac:dyDescent="0.2">
      <c r="D25" s="72"/>
      <c r="F25" s="57"/>
      <c r="G25" s="57"/>
      <c r="H25" s="57"/>
      <c r="J25" s="73"/>
      <c r="K25" s="73"/>
      <c r="L25" s="73"/>
      <c r="M25" s="72"/>
    </row>
    <row r="26" spans="1:13" ht="11.25" customHeight="1" x14ac:dyDescent="0.2">
      <c r="C26" s="70" t="s">
        <v>23</v>
      </c>
      <c r="D26" s="105">
        <f>SUMPRODUCT($C$9:$C$23,D$9:D$23)</f>
        <v>7150166.4112795899</v>
      </c>
      <c r="E26" s="30"/>
      <c r="F26" s="69">
        <f>SUMPRODUCT($C$9:$C$23,F$9:F$23)</f>
        <v>93.913084046106619</v>
      </c>
      <c r="G26" s="69">
        <f>SUMPRODUCT($C$9:$C$23,G$9:G$23)</f>
        <v>92.245677852673609</v>
      </c>
      <c r="H26" s="69">
        <f>SUMPRODUCT($C$9:$C$23,H$9:H$23)</f>
        <v>91.083464481271335</v>
      </c>
      <c r="I26" s="30"/>
      <c r="J26" s="71">
        <f>SUMPRODUCT($C$9:$C$23,J$9:J$23)</f>
        <v>2701567.2547314148</v>
      </c>
      <c r="K26" s="71">
        <f>SUMPRODUCT($C$9:$C$23,K$9:K$23)</f>
        <v>2145233.2693696767</v>
      </c>
      <c r="L26" s="71">
        <f>SUMPRODUCT($C$9:$C$23,L$9:L$23)</f>
        <v>2303365.8871785058</v>
      </c>
      <c r="M26" s="105">
        <f>SUMPRODUCT($C$9:$C$23,M$9:M$23)</f>
        <v>7150166.4112795955</v>
      </c>
    </row>
    <row r="27" spans="1:13" ht="11.25" customHeight="1" x14ac:dyDescent="0.2">
      <c r="C27" s="70" t="s">
        <v>8</v>
      </c>
      <c r="D27" s="106">
        <f>SUMPRODUCT($A$9:$A$23,$C$9:$C$23,D$9:D$23)/D$26</f>
        <v>5.0310167650955755</v>
      </c>
      <c r="E27" s="30"/>
      <c r="F27" s="69">
        <f>SUMPRODUCT($A$9:$A$23,$C$9:$C$23,F$9:F$23)/F$26</f>
        <v>2.8553779129793089</v>
      </c>
      <c r="G27" s="69">
        <f>SUMPRODUCT($A$9:$A$23,$C$9:$C$23,G$9:G$23)/G$26</f>
        <v>4.5297352906403594</v>
      </c>
      <c r="H27" s="69">
        <f>SUMPRODUCT($A$9:$A$23,$C$9:$C$23,H$9:H$23)/H$26</f>
        <v>8.0496428618099767</v>
      </c>
      <c r="I27" s="30"/>
      <c r="J27" s="68">
        <f>SUMPRODUCT($A$9:$A$23,$C$9:$C$23,J$9:J$23)/J$26</f>
        <v>2.8553779129793089</v>
      </c>
      <c r="K27" s="68">
        <f>SUMPRODUCT($A$9:$A$23,$C$9:$C$23,K$9:K$23)/K$26</f>
        <v>4.5297352906403576</v>
      </c>
      <c r="L27" s="68">
        <f>SUMPRODUCT($A$9:$A$23,$C$9:$C$23,L$9:L$23)/L$26</f>
        <v>8.0496428618099767</v>
      </c>
      <c r="M27" s="106">
        <f>SUMPRODUCT($A$9:$A$23,$C$9:$C$23,M$9:M$23)/M$26</f>
        <v>5.0310167650955746</v>
      </c>
    </row>
    <row r="28" spans="1:13" ht="11.25" customHeight="1" x14ac:dyDescent="0.2">
      <c r="C28" s="70" t="s">
        <v>9</v>
      </c>
      <c r="D28" s="106">
        <f>SUMPRODUCT($A$9:$A$23,$A$9:$A$23,$C$9:$C$23,D$9:D$23)/D$26</f>
        <v>33.491368654095794</v>
      </c>
      <c r="E28" s="30"/>
      <c r="F28" s="69">
        <f>SUMPRODUCT($A$9:$A$23,$A$9:$A$23,$C$9:$C$23,F$9:F$23)/F$26</f>
        <v>8.3755331673957532</v>
      </c>
      <c r="G28" s="69">
        <f>SUMPRODUCT($A$9:$A$23,$A$9:$A$23,$C$9:$C$23,G$9:G$23)/G$26</f>
        <v>21.738754334714663</v>
      </c>
      <c r="H28" s="69">
        <f>SUMPRODUCT($A$9:$A$23,$A$9:$A$23,$C$9:$C$23,H$9:H$23)/H$26</f>
        <v>73.894944344840795</v>
      </c>
      <c r="I28" s="30"/>
      <c r="J28" s="68">
        <f>SUMPRODUCT($A$9:$A$23,$A$9:$A$23,$C$9:$C$23,J$9:J$23)/J$26</f>
        <v>8.3755331673957532</v>
      </c>
      <c r="K28" s="68">
        <f>SUMPRODUCT($A$9:$A$23,$A$9:$A$23,$C$9:$C$23,K$9:K$23)/K$26</f>
        <v>21.73875433471466</v>
      </c>
      <c r="L28" s="68">
        <f>SUMPRODUCT($A$9:$A$23,$A$9:$A$23,$C$9:$C$23,L$9:L$23)/L$26</f>
        <v>73.894944344840781</v>
      </c>
      <c r="M28" s="106">
        <f>SUMPRODUCT($A$9:$A$23,$A$9:$A$23,$C$9:$C$23,M$9:M$23)/M$26</f>
        <v>33.49136865409578</v>
      </c>
    </row>
    <row r="29" spans="1:13" ht="11.25" customHeight="1" x14ac:dyDescent="0.2">
      <c r="C29" s="70" t="s">
        <v>24</v>
      </c>
      <c r="D29" s="106">
        <f>D28-D27^2</f>
        <v>8.1802389634230437</v>
      </c>
      <c r="E29" s="30"/>
      <c r="F29" s="69">
        <f>F28-F27^2</f>
        <v>0.22235014146567877</v>
      </c>
      <c r="G29" s="69">
        <f>G28-G27^2</f>
        <v>1.220252531441961</v>
      </c>
      <c r="H29" s="69">
        <f>H28-H27^2</f>
        <v>9.0981941421524795</v>
      </c>
      <c r="I29" s="30"/>
      <c r="J29" s="68">
        <f>J28-J27^2</f>
        <v>0.22235014146567877</v>
      </c>
      <c r="K29" s="68">
        <f>K28-K27^2</f>
        <v>1.2202525314419752</v>
      </c>
      <c r="L29" s="68">
        <f>L28-L27^2</f>
        <v>9.0981941421524652</v>
      </c>
      <c r="M29" s="106">
        <f>M28-M27^2</f>
        <v>8.1802389634230401</v>
      </c>
    </row>
    <row r="31" spans="1:13" ht="11.25" customHeight="1" x14ac:dyDescent="0.2">
      <c r="C31" s="67" t="s">
        <v>41</v>
      </c>
    </row>
    <row r="33" spans="3:14" ht="11.25" customHeight="1" x14ac:dyDescent="0.2">
      <c r="C33" s="66" t="s">
        <v>40</v>
      </c>
      <c r="D33" s="32" t="s">
        <v>39</v>
      </c>
      <c r="E33" s="51"/>
      <c r="F33" s="41" t="str">
        <f>F8</f>
        <v>Maturity: 3</v>
      </c>
      <c r="G33" s="65" t="str">
        <f>G8</f>
        <v>Maturity: 5</v>
      </c>
      <c r="H33" s="34" t="str">
        <f>H8</f>
        <v>Maturity: 10</v>
      </c>
      <c r="I33" s="51"/>
      <c r="J33" s="32" t="s">
        <v>38</v>
      </c>
      <c r="K33" s="51"/>
      <c r="N33" s="30"/>
    </row>
    <row r="34" spans="3:14" ht="11.25" customHeight="1" x14ac:dyDescent="0.2">
      <c r="C34" s="27" t="s">
        <v>7</v>
      </c>
      <c r="D34" s="64">
        <f>D26</f>
        <v>7150166.4112795899</v>
      </c>
      <c r="E34" s="28"/>
      <c r="F34" s="63">
        <f>F26</f>
        <v>93.913084046106619</v>
      </c>
      <c r="G34" s="62">
        <f>G26</f>
        <v>92.245677852673609</v>
      </c>
      <c r="H34" s="61">
        <f>H26</f>
        <v>91.083464481271335</v>
      </c>
      <c r="J34" s="60">
        <f t="array" ref="J34:J36">MMULT(MINVERSE($F$34:$H$36),$D$34:$D$36)</f>
        <v>28766.675934155035</v>
      </c>
    </row>
    <row r="35" spans="3:14" ht="11.25" customHeight="1" x14ac:dyDescent="0.2">
      <c r="C35" s="27" t="s">
        <v>21</v>
      </c>
      <c r="D35" s="59">
        <f>D26*D27</f>
        <v>35972607.088370882</v>
      </c>
      <c r="E35" s="28" t="s">
        <v>22</v>
      </c>
      <c r="F35" s="58">
        <f>F26*F27</f>
        <v>268.15734592502236</v>
      </c>
      <c r="G35" s="57">
        <f>G26*G27</f>
        <v>417.84850237829744</v>
      </c>
      <c r="H35" s="36">
        <f>H26*H27</f>
        <v>733.18935969058839</v>
      </c>
      <c r="I35" s="28" t="s">
        <v>37</v>
      </c>
      <c r="J35" s="56">
        <v>23255.650772016088</v>
      </c>
    </row>
    <row r="36" spans="3:14" ht="11.25" customHeight="1" x14ac:dyDescent="0.2">
      <c r="C36" s="27" t="s">
        <v>20</v>
      </c>
      <c r="D36" s="55">
        <f>D26*D28</f>
        <v>239468859.21829787</v>
      </c>
      <c r="F36" s="54">
        <f>F26*F28</f>
        <v>786.5721502805909</v>
      </c>
      <c r="G36" s="53">
        <f>G26*G28</f>
        <v>2005.3061292785007</v>
      </c>
      <c r="H36" s="37">
        <f>H26*H28</f>
        <v>6730.607538578829</v>
      </c>
      <c r="J36" s="52">
        <v>25288.518616374393</v>
      </c>
    </row>
  </sheetData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Yield curve estimation</vt:lpstr>
      <vt:lpstr>Liability</vt:lpstr>
      <vt:lpstr>Immunisation</vt:lpstr>
      <vt:lpstr>Chart estimated yield curve</vt:lpstr>
      <vt:lpstr>Matrix_B</vt:lpstr>
      <vt:lpstr>Matrix_C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Walther Neuhaus</dc:creator>
  <cp:lastModifiedBy>User</cp:lastModifiedBy>
  <cp:lastPrinted>2016-09-21T10:05:24Z</cp:lastPrinted>
  <dcterms:created xsi:type="dcterms:W3CDTF">2008-11-17T22:35:49Z</dcterms:created>
  <dcterms:modified xsi:type="dcterms:W3CDTF">2016-09-21T14:44:22Z</dcterms:modified>
</cp:coreProperties>
</file>